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7860" firstSheet="4" activeTab="4"/>
  </bookViews>
  <sheets>
    <sheet name="Luu tru" sheetId="1" r:id="rId1"/>
    <sheet name="Sheet1" sheetId="2" r:id="rId2"/>
    <sheet name="Tong hop" sheetId="3" r:id="rId3"/>
    <sheet name="Diem thanh phan.xong (2)" sheetId="4" r:id="rId4"/>
    <sheet name="Ket qua lop triet 1" sheetId="5" r:id="rId5"/>
    <sheet name="Sheet2" sheetId="6" r:id="rId6"/>
  </sheets>
  <definedNames>
    <definedName name="_xlnm.Print_Titles" localSheetId="3">'Diem thanh phan.xong (2)'!$18:$19</definedName>
    <definedName name="_xlnm.Print_Titles" localSheetId="4">'Ket qua lop triet 1'!$16:$16</definedName>
    <definedName name="_xlnm.Print_Titles" localSheetId="2">'Tong hop'!$18:$19</definedName>
  </definedNames>
  <calcPr fullCalcOnLoad="1"/>
</workbook>
</file>

<file path=xl/comments3.xml><?xml version="1.0" encoding="utf-8"?>
<comments xmlns="http://schemas.openxmlformats.org/spreadsheetml/2006/main">
  <authors>
    <author>Mr. Quan</author>
  </authors>
  <commentList>
    <comment ref="J334" authorId="0">
      <text>
        <r>
          <rPr>
            <b/>
            <sz val="10"/>
            <rFont val="Tahoma"/>
            <family val="2"/>
          </rPr>
          <t>Mr. Quan:</t>
        </r>
        <r>
          <rPr>
            <sz val="10"/>
            <rFont val="Tahoma"/>
            <family val="2"/>
          </rPr>
          <t xml:space="preserve">
Đình chỉ
</t>
        </r>
      </text>
    </comment>
  </commentList>
</comments>
</file>

<file path=xl/comments4.xml><?xml version="1.0" encoding="utf-8"?>
<comments xmlns="http://schemas.openxmlformats.org/spreadsheetml/2006/main">
  <authors>
    <author>Mr. Quan</author>
  </authors>
  <commentList>
    <comment ref="J333" authorId="0">
      <text>
        <r>
          <rPr>
            <b/>
            <sz val="10"/>
            <rFont val="Tahoma"/>
            <family val="2"/>
          </rPr>
          <t>Mr. Quan:</t>
        </r>
        <r>
          <rPr>
            <sz val="10"/>
            <rFont val="Tahoma"/>
            <family val="2"/>
          </rPr>
          <t xml:space="preserve">
Đình chỉ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1977-&gt;1971</t>
        </r>
      </text>
    </comment>
    <comment ref="D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04/01 -&gt; 14/01. Tien sua</t>
        </r>
      </text>
    </comment>
  </commentList>
</comments>
</file>

<file path=xl/sharedStrings.xml><?xml version="1.0" encoding="utf-8"?>
<sst xmlns="http://schemas.openxmlformats.org/spreadsheetml/2006/main" count="10977" uniqueCount="3359">
  <si>
    <t>Trọng số điểm thành phần</t>
  </si>
  <si>
    <t>Điểm 1 (Ý thức)</t>
  </si>
  <si>
    <t>Điểm 2 (tiểu luận)</t>
  </si>
  <si>
    <t>Điểm 3 (giữa kỳ)</t>
  </si>
  <si>
    <t>Điểm 4 (cuối kỳ)</t>
  </si>
  <si>
    <t>426 học viên</t>
  </si>
  <si>
    <t xml:space="preserve">(dành cho học viên không chuyên triết) </t>
  </si>
  <si>
    <t>KẾT QUẢ THI MÔN TRIẾT HỌC MÁC - LÊNIN NĂM 2008</t>
  </si>
  <si>
    <t>Họ và tên</t>
  </si>
  <si>
    <t>Ngày sinh</t>
  </si>
  <si>
    <t>Điểm 1</t>
  </si>
  <si>
    <t>Điểm 2</t>
  </si>
  <si>
    <t>Điểm 3</t>
  </si>
  <si>
    <t>Điểm 4</t>
  </si>
  <si>
    <t>Điểm 5</t>
  </si>
  <si>
    <t>ĐIỂM</t>
  </si>
  <si>
    <t>Tổng hệ số</t>
  </si>
  <si>
    <t>Stt</t>
  </si>
  <si>
    <t>Mã số SV</t>
  </si>
  <si>
    <t>Lớp 
khóa học</t>
  </si>
  <si>
    <t>Môn học:</t>
  </si>
  <si>
    <t>Số tín chỉ:</t>
  </si>
  <si>
    <t>Họ và tên GV:</t>
  </si>
  <si>
    <t>Số SV:</t>
  </si>
  <si>
    <t>Lịch học:</t>
  </si>
  <si>
    <t>Mã lớp môn học:</t>
  </si>
  <si>
    <t>Học kỳ</t>
  </si>
  <si>
    <t>Mã môn học</t>
  </si>
  <si>
    <t>PHIẾU NHẬP ĐIỂM THÀNH PHẦN</t>
  </si>
  <si>
    <t>Trọng số</t>
  </si>
  <si>
    <t>ĐẠI HỌC QUỐC GIA HÀ NỘI</t>
  </si>
  <si>
    <t xml:space="preserve">TRƯỜNG ĐẠI HỌC KHOA HỌC </t>
  </si>
  <si>
    <t>XÃ HỘI VÀ NHÂN VĂN</t>
  </si>
  <si>
    <t>CỘNG HOÀ XÃ HỘI CHỦ NGHĨA VIỆT NAM</t>
  </si>
  <si>
    <t>Độc lập - Tự do - Hạnh phúc</t>
  </si>
  <si>
    <t>C. Thông tin về môn học</t>
  </si>
  <si>
    <t>B. Trọng số điểm thành phần</t>
  </si>
  <si>
    <t>Anh</t>
  </si>
  <si>
    <t>Nguyễn Ngọc</t>
  </si>
  <si>
    <t>Hoàng Văn</t>
  </si>
  <si>
    <t>Nguyễn Thành</t>
  </si>
  <si>
    <t>Nguyễn Thị</t>
  </si>
  <si>
    <t>Nguyễn Thị Thanh</t>
  </si>
  <si>
    <t>Nguyễn Văn</t>
  </si>
  <si>
    <t>Dũng</t>
  </si>
  <si>
    <t>Dương</t>
  </si>
  <si>
    <t>Đức</t>
  </si>
  <si>
    <t>Giang</t>
  </si>
  <si>
    <t>Hà</t>
  </si>
  <si>
    <t>Hằng</t>
  </si>
  <si>
    <t>Nguyễn Đình</t>
  </si>
  <si>
    <t>Hậu</t>
  </si>
  <si>
    <t>Lê Thị</t>
  </si>
  <si>
    <t>Hiền</t>
  </si>
  <si>
    <t>Hoà</t>
  </si>
  <si>
    <t>Hoài</t>
  </si>
  <si>
    <t>Hưng</t>
  </si>
  <si>
    <t>Hương</t>
  </si>
  <si>
    <t>Hường</t>
  </si>
  <si>
    <t>Lan</t>
  </si>
  <si>
    <t>Linh</t>
  </si>
  <si>
    <t>Trần Thị</t>
  </si>
  <si>
    <t>Nga</t>
  </si>
  <si>
    <t>Ngân</t>
  </si>
  <si>
    <t>Nhung</t>
  </si>
  <si>
    <t>Oanh</t>
  </si>
  <si>
    <t>Thảo</t>
  </si>
  <si>
    <t>Thu</t>
  </si>
  <si>
    <t>Thuỳ</t>
  </si>
  <si>
    <t>Phạm Thị</t>
  </si>
  <si>
    <t>Nguyễn Trung</t>
  </si>
  <si>
    <t>Phạm Văn</t>
  </si>
  <si>
    <t>Trang</t>
  </si>
  <si>
    <t>Nguyễn Thị Kim</t>
  </si>
  <si>
    <t>Công</t>
  </si>
  <si>
    <t>Nguyễn Thuỳ</t>
  </si>
  <si>
    <t>Hà Thị</t>
  </si>
  <si>
    <t>Duyên</t>
  </si>
  <si>
    <t>Điệp</t>
  </si>
  <si>
    <t>Bùi Thị</t>
  </si>
  <si>
    <t>Hảo</t>
  </si>
  <si>
    <t>Hồng</t>
  </si>
  <si>
    <t>Hoàng Thị</t>
  </si>
  <si>
    <t>Trương Thị</t>
  </si>
  <si>
    <t>Hiếu</t>
  </si>
  <si>
    <t>Đỗ Thị</t>
  </si>
  <si>
    <t>Hoàn</t>
  </si>
  <si>
    <t>Nguyễn Đức</t>
  </si>
  <si>
    <t>Huy</t>
  </si>
  <si>
    <t>Huyền</t>
  </si>
  <si>
    <t>Nguyễn Thương</t>
  </si>
  <si>
    <t>Liên</t>
  </si>
  <si>
    <t>Long</t>
  </si>
  <si>
    <t>Lê Văn</t>
  </si>
  <si>
    <t>Nguyễn Tuấn</t>
  </si>
  <si>
    <t>Nam</t>
  </si>
  <si>
    <t>Nguyễn Hồng</t>
  </si>
  <si>
    <t>Phúc</t>
  </si>
  <si>
    <t>Quỳnh</t>
  </si>
  <si>
    <t>Thắm</t>
  </si>
  <si>
    <t>Thắng</t>
  </si>
  <si>
    <t>Nguyễn Thị Tâm</t>
  </si>
  <si>
    <t>Tùng</t>
  </si>
  <si>
    <t>Trung</t>
  </si>
  <si>
    <t>Tuyết</t>
  </si>
  <si>
    <t>Yến</t>
  </si>
  <si>
    <t>Cao Phượng</t>
  </si>
  <si>
    <t>Diễm</t>
  </si>
  <si>
    <t>Mai Thị Lan</t>
  </si>
  <si>
    <t>Trần Huy</t>
  </si>
  <si>
    <t>Ngọc</t>
  </si>
  <si>
    <t>Hải</t>
  </si>
  <si>
    <t>Sơn</t>
  </si>
  <si>
    <t>Loan</t>
  </si>
  <si>
    <t>Nguyễn Hoàng</t>
  </si>
  <si>
    <t>Phượng</t>
  </si>
  <si>
    <t>Mai</t>
  </si>
  <si>
    <t>Phan Quốc</t>
  </si>
  <si>
    <t>Văn Thị Ngọc</t>
  </si>
  <si>
    <t>Thuỷ</t>
  </si>
  <si>
    <t>Lữ Thị</t>
  </si>
  <si>
    <t>Thuý</t>
  </si>
  <si>
    <t>Nguyễn Thanh</t>
  </si>
  <si>
    <t>Văn Phương</t>
  </si>
  <si>
    <t>Hoa</t>
  </si>
  <si>
    <t>Sầm Vũ</t>
  </si>
  <si>
    <t>Phan Thị Tuyết</t>
  </si>
  <si>
    <t>Thủy</t>
  </si>
  <si>
    <t>Nguyễn Thuý</t>
  </si>
  <si>
    <t>Vũ Thị Thuý</t>
  </si>
  <si>
    <t>Nguyễn Thu</t>
  </si>
  <si>
    <t>Phan Thị Hồng</t>
  </si>
  <si>
    <t>Minh</t>
  </si>
  <si>
    <t>Đỗ Thanh Thảo</t>
  </si>
  <si>
    <t>Trần Thị Hồng</t>
  </si>
  <si>
    <t>Phạm Hồng</t>
  </si>
  <si>
    <t>Nguyễn Hữu</t>
  </si>
  <si>
    <t>Tuấn</t>
  </si>
  <si>
    <t>Đỗ Thị Kim</t>
  </si>
  <si>
    <t>Thoa</t>
  </si>
  <si>
    <t>Đào Việt</t>
  </si>
  <si>
    <t>Mai Thanh</t>
  </si>
  <si>
    <t>Phan Thế</t>
  </si>
  <si>
    <t>Quyết</t>
  </si>
  <si>
    <t>Trịnh Vũ Hồng</t>
  </si>
  <si>
    <t>Nguyễn Minh</t>
  </si>
  <si>
    <t>Phương</t>
  </si>
  <si>
    <t>Nguyễn Kim</t>
  </si>
  <si>
    <t>Trần Văn</t>
  </si>
  <si>
    <t>Đoài</t>
  </si>
  <si>
    <t>Đinh Việt</t>
  </si>
  <si>
    <t>Phạm Tuấn</t>
  </si>
  <si>
    <t>Vũ Thị Ngọc</t>
  </si>
  <si>
    <t>Toàn</t>
  </si>
  <si>
    <t>Phong</t>
  </si>
  <si>
    <t>Nguyễn Thị Thu</t>
  </si>
  <si>
    <t>Vũ Duy</t>
  </si>
  <si>
    <t>Nguyễn Thị Hồng</t>
  </si>
  <si>
    <t>Dung</t>
  </si>
  <si>
    <t>Phạm Đức</t>
  </si>
  <si>
    <t>Tiến</t>
  </si>
  <si>
    <t>Phạm Thị Minh</t>
  </si>
  <si>
    <t>Thư</t>
  </si>
  <si>
    <t>Nguyễn Hoài</t>
  </si>
  <si>
    <t>Đỗ Hải</t>
  </si>
  <si>
    <t>Nguyễn Tiến</t>
  </si>
  <si>
    <t>Độ</t>
  </si>
  <si>
    <t>Nguyễn Thị Phương</t>
  </si>
  <si>
    <t>Thương</t>
  </si>
  <si>
    <t>Đoàn Thị Thuỳ</t>
  </si>
  <si>
    <t>Trần Đức</t>
  </si>
  <si>
    <t>Thành</t>
  </si>
  <si>
    <t>Trần Mạnh</t>
  </si>
  <si>
    <t>Cường</t>
  </si>
  <si>
    <t>Phạm Cao</t>
  </si>
  <si>
    <t>Đinh Thị Trà</t>
  </si>
  <si>
    <t>Nhi</t>
  </si>
  <si>
    <t>Phạm Thị Tuyết</t>
  </si>
  <si>
    <t>Nhàn</t>
  </si>
  <si>
    <t>Mạnh</t>
  </si>
  <si>
    <t>Trần Thị Thu</t>
  </si>
  <si>
    <t>Phạm Tiến</t>
  </si>
  <si>
    <t>Hoạt</t>
  </si>
  <si>
    <t>Trần Thị Minh</t>
  </si>
  <si>
    <t>Nguyệt</t>
  </si>
  <si>
    <t>Nguyễn Như</t>
  </si>
  <si>
    <t>Đào Hải</t>
  </si>
  <si>
    <t>Chung</t>
  </si>
  <si>
    <t>Nguyễn Quỳnh</t>
  </si>
  <si>
    <t>Trà</t>
  </si>
  <si>
    <t>Đỗ Thị Thanh</t>
  </si>
  <si>
    <t>Lương</t>
  </si>
  <si>
    <t>Ngà</t>
  </si>
  <si>
    <t>Thuỵ</t>
  </si>
  <si>
    <t>Diệp</t>
  </si>
  <si>
    <t>Trần Thị Thuý</t>
  </si>
  <si>
    <t>Lưu Quốc</t>
  </si>
  <si>
    <t>Trần Tuấn</t>
  </si>
  <si>
    <t>Vi Thuỳ</t>
  </si>
  <si>
    <t>Dịu</t>
  </si>
  <si>
    <t>Nguyễn Thị Hằng</t>
  </si>
  <si>
    <t>Đào Thu</t>
  </si>
  <si>
    <t>Huế</t>
  </si>
  <si>
    <t>Nguyễn Tuyết</t>
  </si>
  <si>
    <t>Đỗ Thị Ngọc</t>
  </si>
  <si>
    <t>Nguyễn Thị Thuỳ</t>
  </si>
  <si>
    <t>Trần Thị Mai</t>
  </si>
  <si>
    <t>Phan Thị An</t>
  </si>
  <si>
    <t>Vũ Thị</t>
  </si>
  <si>
    <t>Vượng</t>
  </si>
  <si>
    <t>Nguyễn Thị Ngọc</t>
  </si>
  <si>
    <t>Trần Minh</t>
  </si>
  <si>
    <t>Đinh Thị Hải</t>
  </si>
  <si>
    <t>Đường</t>
  </si>
  <si>
    <t>Phạm Thị Hồng</t>
  </si>
  <si>
    <t>Khương</t>
  </si>
  <si>
    <t>Đinh Thị</t>
  </si>
  <si>
    <t>Duyệt</t>
  </si>
  <si>
    <t>Thanh</t>
  </si>
  <si>
    <t>Phạm Thị Thu</t>
  </si>
  <si>
    <t>Trần Hồng</t>
  </si>
  <si>
    <t>Hà Thị Minh</t>
  </si>
  <si>
    <t>Thuận</t>
  </si>
  <si>
    <t>Vi Thị Lan</t>
  </si>
  <si>
    <t>Đàm Thị Mai</t>
  </si>
  <si>
    <t>Triệu</t>
  </si>
  <si>
    <t>Quảng</t>
  </si>
  <si>
    <t>Nguyễn Nhật</t>
  </si>
  <si>
    <t>Đinh Kim</t>
  </si>
  <si>
    <t>Nguyễn Anh</t>
  </si>
  <si>
    <t>Đàm Thị Lan</t>
  </si>
  <si>
    <t>Vũ Hoàng</t>
  </si>
  <si>
    <t>Đàm Thanh</t>
  </si>
  <si>
    <t>Vũ Thị Thu</t>
  </si>
  <si>
    <t>Vũ Thanh</t>
  </si>
  <si>
    <t>Hợi</t>
  </si>
  <si>
    <t>Nguyễn Thị Lan</t>
  </si>
  <si>
    <t>Tạ Thị Thanh</t>
  </si>
  <si>
    <t>Mến</t>
  </si>
  <si>
    <t>Đặng Thị Tuyết</t>
  </si>
  <si>
    <t>Trinh</t>
  </si>
  <si>
    <t>Hạnh</t>
  </si>
  <si>
    <t>Đậu Thị</t>
  </si>
  <si>
    <t>Thường</t>
  </si>
  <si>
    <t>Vũ Thuý</t>
  </si>
  <si>
    <t>Hà Thuỳ</t>
  </si>
  <si>
    <t>Lại Thị</t>
  </si>
  <si>
    <t>Trần Thị Phương</t>
  </si>
  <si>
    <t>Đỗ Thu</t>
  </si>
  <si>
    <t>Hoàng Thị Hiền</t>
  </si>
  <si>
    <t>Nguyễn Đào</t>
  </si>
  <si>
    <t>Sao</t>
  </si>
  <si>
    <t>Nguyễn Thị Chi</t>
  </si>
  <si>
    <t>Lựu</t>
  </si>
  <si>
    <t>Đào Thị Minh</t>
  </si>
  <si>
    <t>Đỗ Thị Thu</t>
  </si>
  <si>
    <t>Đào Thị</t>
  </si>
  <si>
    <t>Đinh Thị Ánh</t>
  </si>
  <si>
    <t>Vương Thuý</t>
  </si>
  <si>
    <t>Vũ Linh</t>
  </si>
  <si>
    <t>Chi</t>
  </si>
  <si>
    <t>Phạm Thành</t>
  </si>
  <si>
    <t>Nguyễn Thị Tuyết</t>
  </si>
  <si>
    <t>Đào Hoài</t>
  </si>
  <si>
    <t>Trần Thị Vũ</t>
  </si>
  <si>
    <t>Nguyễn Thị Hải</t>
  </si>
  <si>
    <t>Phạm Thị Hương</t>
  </si>
  <si>
    <t>Phan Lương</t>
  </si>
  <si>
    <t>Hoàng Thu</t>
  </si>
  <si>
    <t>Nguyễn Thị Minh</t>
  </si>
  <si>
    <t>Phan Thị Huyền</t>
  </si>
  <si>
    <t>Hoàng Trung</t>
  </si>
  <si>
    <t>Nguyễn Hương</t>
  </si>
  <si>
    <t>Tươi</t>
  </si>
  <si>
    <t>Kiều Thanh</t>
  </si>
  <si>
    <t>Trần Thị Hương</t>
  </si>
  <si>
    <t>Phan Thị Ngọc</t>
  </si>
  <si>
    <t>Na</t>
  </si>
  <si>
    <t>Cao Thị Thu</t>
  </si>
  <si>
    <t>Đoàn Thị Thanh</t>
  </si>
  <si>
    <t>Trọng</t>
  </si>
  <si>
    <t>Đoàn Minh</t>
  </si>
  <si>
    <t>Hiến</t>
  </si>
  <si>
    <t>Thiện</t>
  </si>
  <si>
    <t>Phạm Hoàng</t>
  </si>
  <si>
    <t>Tài</t>
  </si>
  <si>
    <t>Lành</t>
  </si>
  <si>
    <t>Cao Hải</t>
  </si>
  <si>
    <t>An</t>
  </si>
  <si>
    <t>Đoàn Thị</t>
  </si>
  <si>
    <t>Hạ</t>
  </si>
  <si>
    <t>Đỗ Thị Thuý</t>
  </si>
  <si>
    <t>Đào Thị Lan</t>
  </si>
  <si>
    <t>Huệ</t>
  </si>
  <si>
    <t>Trần Việt</t>
  </si>
  <si>
    <t>Nguyễn Thị Linh</t>
  </si>
  <si>
    <t>Trịnh Thị Thu</t>
  </si>
  <si>
    <t>Phan Thanh</t>
  </si>
  <si>
    <t>Phạm Thị Anh</t>
  </si>
  <si>
    <t>Vũ Ngọc</t>
  </si>
  <si>
    <t>Ly</t>
  </si>
  <si>
    <t>Thụ</t>
  </si>
  <si>
    <t>Nguyễn Thị Lập</t>
  </si>
  <si>
    <t>Trần Hiền</t>
  </si>
  <si>
    <t>Nguyễn Hà</t>
  </si>
  <si>
    <t>Trần Mai</t>
  </si>
  <si>
    <t>Như</t>
  </si>
  <si>
    <t>Hoa Thị Lệ</t>
  </si>
  <si>
    <t>Vũ Minh</t>
  </si>
  <si>
    <t>Mai Văn</t>
  </si>
  <si>
    <t>Lại Thị Thanh</t>
  </si>
  <si>
    <t>Hanh</t>
  </si>
  <si>
    <t>Đồng Thị Thương</t>
  </si>
  <si>
    <t>Phan Đức</t>
  </si>
  <si>
    <t>Trần Thị Thanh</t>
  </si>
  <si>
    <t>Trần Thị Kim</t>
  </si>
  <si>
    <t>Ánh</t>
  </si>
  <si>
    <t>Đào Văn</t>
  </si>
  <si>
    <t>Đỗ Quốc</t>
  </si>
  <si>
    <t>Chu Thị Hương</t>
  </si>
  <si>
    <t>Giao</t>
  </si>
  <si>
    <t>Khải</t>
  </si>
  <si>
    <t>Dương Hồng</t>
  </si>
  <si>
    <t>Phạm Thị Hoàng</t>
  </si>
  <si>
    <t>Nguyễn Huy</t>
  </si>
  <si>
    <t>Đa</t>
  </si>
  <si>
    <t>Đinh Thị Lệ</t>
  </si>
  <si>
    <t>Tống Thị</t>
  </si>
  <si>
    <t>Lương Thanh</t>
  </si>
  <si>
    <t>Trần Thị Ngọc</t>
  </si>
  <si>
    <t>Dương Đức</t>
  </si>
  <si>
    <t>Quang</t>
  </si>
  <si>
    <t>Bằng</t>
  </si>
  <si>
    <t>Trưởng</t>
  </si>
  <si>
    <t>Phạm Thị Thuỳ</t>
  </si>
  <si>
    <t>Phạm Thị Ngọc</t>
  </si>
  <si>
    <t>Thoan</t>
  </si>
  <si>
    <t>Hoàng Thị Thuý</t>
  </si>
  <si>
    <t>Hoàng Minh</t>
  </si>
  <si>
    <t>Thoả</t>
  </si>
  <si>
    <t>Đặng Hồng</t>
  </si>
  <si>
    <t>Nguyễn Tường</t>
  </si>
  <si>
    <t>Mận</t>
  </si>
  <si>
    <t>Đào</t>
  </si>
  <si>
    <t>Trần</t>
  </si>
  <si>
    <t>Định</t>
  </si>
  <si>
    <t>Nhường</t>
  </si>
  <si>
    <t>Đặng Thị Thu</t>
  </si>
  <si>
    <t>Hoàng Hải</t>
  </si>
  <si>
    <t>Viengmalay</t>
  </si>
  <si>
    <t>Hoàng Hoa</t>
  </si>
  <si>
    <t>Liu</t>
  </si>
  <si>
    <t>Ying</t>
  </si>
  <si>
    <t>Yoon</t>
  </si>
  <si>
    <t>Sung-yeon</t>
  </si>
  <si>
    <t>Lê Thị Việt</t>
  </si>
  <si>
    <t>Trương Thị Bích</t>
  </si>
  <si>
    <t>Lê Thái</t>
  </si>
  <si>
    <t>Lê Thị Diệu</t>
  </si>
  <si>
    <t>Bùi Thị Thu</t>
  </si>
  <si>
    <t>Lê Phương</t>
  </si>
  <si>
    <t>Ngô Thị Lan</t>
  </si>
  <si>
    <t>Nguyễn Thị Bích</t>
  </si>
  <si>
    <t>Bùi Thị Hoàng</t>
  </si>
  <si>
    <t>Miên</t>
  </si>
  <si>
    <t>Đỗ Xuân</t>
  </si>
  <si>
    <t>Trịnh Đình</t>
  </si>
  <si>
    <t>Lê Toàn</t>
  </si>
  <si>
    <t>Bách</t>
  </si>
  <si>
    <t>Phạm Thị Bích</t>
  </si>
  <si>
    <t>Trần Xuân</t>
  </si>
  <si>
    <t>Đích</t>
  </si>
  <si>
    <t>Dương Bình</t>
  </si>
  <si>
    <t>Phú</t>
  </si>
  <si>
    <t>Nguyễn Thái</t>
  </si>
  <si>
    <t>Trương Khánh</t>
  </si>
  <si>
    <t>Hoàng Nguyên</t>
  </si>
  <si>
    <t>Đỗ Thị Bích</t>
  </si>
  <si>
    <t>Lê Tuyết</t>
  </si>
  <si>
    <t>Tú</t>
  </si>
  <si>
    <t>Lê Thị Mai</t>
  </si>
  <si>
    <t>Lê Thành</t>
  </si>
  <si>
    <t>Võ Thị Kim</t>
  </si>
  <si>
    <t>Thái</t>
  </si>
  <si>
    <t>Bùi Văn</t>
  </si>
  <si>
    <t>Nguyễn Phúc</t>
  </si>
  <si>
    <t>Chí</t>
  </si>
  <si>
    <t>Phan Cúc</t>
  </si>
  <si>
    <t>Khánh</t>
  </si>
  <si>
    <t>Lê Thị Lan</t>
  </si>
  <si>
    <t>Giáp Thị</t>
  </si>
  <si>
    <t>Võ Thị Tú</t>
  </si>
  <si>
    <t>Bùi Thanh</t>
  </si>
  <si>
    <t>Lê Thế</t>
  </si>
  <si>
    <t>Lâm</t>
  </si>
  <si>
    <t>Phạm Tô</t>
  </si>
  <si>
    <t>Cúc</t>
  </si>
  <si>
    <t>Công Phương</t>
  </si>
  <si>
    <t>Hà Lê</t>
  </si>
  <si>
    <t>Hoàng Tích</t>
  </si>
  <si>
    <t>Lê</t>
  </si>
  <si>
    <t>Hoàng Lâm</t>
  </si>
  <si>
    <t>Bùi Minh</t>
  </si>
  <si>
    <t>Nông Thị Ánh</t>
  </si>
  <si>
    <t>Phí Thị</t>
  </si>
  <si>
    <t>Lâm Thu</t>
  </si>
  <si>
    <t>Tâm</t>
  </si>
  <si>
    <t>Phùng Thị Hồng</t>
  </si>
  <si>
    <t>Vân</t>
  </si>
  <si>
    <t>Ngô Diệp</t>
  </si>
  <si>
    <t>Nguyên</t>
  </si>
  <si>
    <t>Phùng Thu</t>
  </si>
  <si>
    <t>Phan Thị Bích</t>
  </si>
  <si>
    <t>Lê Thị Nguyệt</t>
  </si>
  <si>
    <t>Phí Lê</t>
  </si>
  <si>
    <t>Bùi Bội</t>
  </si>
  <si>
    <t>Lê Thị Tố</t>
  </si>
  <si>
    <t>Uyên</t>
  </si>
  <si>
    <t>Bình</t>
  </si>
  <si>
    <t>Hùng</t>
  </si>
  <si>
    <t>Bùi Thị Bích</t>
  </si>
  <si>
    <t>Đinh Thị Xuân</t>
  </si>
  <si>
    <t>Trần Bách</t>
  </si>
  <si>
    <t>Lê Lê</t>
  </si>
  <si>
    <t>Phạm Tú</t>
  </si>
  <si>
    <t>Đỗ Thị Vân</t>
  </si>
  <si>
    <t>Lưu Bích</t>
  </si>
  <si>
    <t>Châu</t>
  </si>
  <si>
    <t>Bùi Đức</t>
  </si>
  <si>
    <t>Lê Minh</t>
  </si>
  <si>
    <t>Lê Thu</t>
  </si>
  <si>
    <t>Vũ Bích</t>
  </si>
  <si>
    <t>Lê Thị Minh</t>
  </si>
  <si>
    <t>Chiên</t>
  </si>
  <si>
    <t>Bùi Thị Phương</t>
  </si>
  <si>
    <t>Võ Thị Cẩm</t>
  </si>
  <si>
    <t>Đông</t>
  </si>
  <si>
    <t>Bùi Quỳnh</t>
  </si>
  <si>
    <t>Quyên</t>
  </si>
  <si>
    <t>Huyên</t>
  </si>
  <si>
    <t>Cù Thị Thanh</t>
  </si>
  <si>
    <t>Ngô Quốc</t>
  </si>
  <si>
    <t>Phòng</t>
  </si>
  <si>
    <t>Võ Thị Ngọc</t>
  </si>
  <si>
    <t>Lê Thị Ngọc</t>
  </si>
  <si>
    <t>Vũ Thị Vân</t>
  </si>
  <si>
    <t>Võ Mạnh</t>
  </si>
  <si>
    <t>Lê Như</t>
  </si>
  <si>
    <t>Lê Quang</t>
  </si>
  <si>
    <t>Xuân</t>
  </si>
  <si>
    <t>Lê Thị Thu</t>
  </si>
  <si>
    <t>Ngô Hà</t>
  </si>
  <si>
    <t>Lê Thị Bích</t>
  </si>
  <si>
    <t>Nghiêm</t>
  </si>
  <si>
    <t>Cầm Bá</t>
  </si>
  <si>
    <t>Trịnh Tùng</t>
  </si>
  <si>
    <t>Nguyễn Hoàng Diệu</t>
  </si>
  <si>
    <t>08/04/85</t>
  </si>
  <si>
    <t>22/03/81</t>
  </si>
  <si>
    <t>10/11/80</t>
  </si>
  <si>
    <t>31/08/84</t>
  </si>
  <si>
    <t>31/05/82</t>
  </si>
  <si>
    <t>18/04/77</t>
  </si>
  <si>
    <t>22/06/84</t>
  </si>
  <si>
    <t>20/03/85</t>
  </si>
  <si>
    <t>25/10/85</t>
  </si>
  <si>
    <t>28/08/85</t>
  </si>
  <si>
    <t>28/10/82</t>
  </si>
  <si>
    <t>12/05/56</t>
  </si>
  <si>
    <t>28/01/83</t>
  </si>
  <si>
    <t>29/06/84</t>
  </si>
  <si>
    <t>01/07/77</t>
  </si>
  <si>
    <t>17/10/79</t>
  </si>
  <si>
    <t>19/05/81</t>
  </si>
  <si>
    <t>19/11/77</t>
  </si>
  <si>
    <t>13/02/74</t>
  </si>
  <si>
    <t>01/08/83</t>
  </si>
  <si>
    <t>04/06/76</t>
  </si>
  <si>
    <t>11/09/83</t>
  </si>
  <si>
    <t>29/05/80</t>
  </si>
  <si>
    <t>19/05/83</t>
  </si>
  <si>
    <t>17/01/80</t>
  </si>
  <si>
    <t>30/03/80</t>
  </si>
  <si>
    <t>07/03/77</t>
  </si>
  <si>
    <t>13/07/84</t>
  </si>
  <si>
    <t>20/11/84</t>
  </si>
  <si>
    <t>01/09/84</t>
  </si>
  <si>
    <t>22/04/85</t>
  </si>
  <si>
    <t>22/06/83</t>
  </si>
  <si>
    <t>29/01/85</t>
  </si>
  <si>
    <t>26/01/84</t>
  </si>
  <si>
    <t>24/01/85</t>
  </si>
  <si>
    <t>07/12/84</t>
  </si>
  <si>
    <t>08/02/83</t>
  </si>
  <si>
    <t>11/03/78</t>
  </si>
  <si>
    <t>05/09/69</t>
  </si>
  <si>
    <t>10/06/74</t>
  </si>
  <si>
    <t>30/12/70</t>
  </si>
  <si>
    <t>06/06/71</t>
  </si>
  <si>
    <t>13/11/80</t>
  </si>
  <si>
    <t>23/04/74</t>
  </si>
  <si>
    <t>10/03/81</t>
  </si>
  <si>
    <t>18/10/76</t>
  </si>
  <si>
    <t>29/03/79</t>
  </si>
  <si>
    <t>10/10/79</t>
  </si>
  <si>
    <t>31/05/75</t>
  </si>
  <si>
    <t>16/03/78</t>
  </si>
  <si>
    <t>17/03/70</t>
  </si>
  <si>
    <t>06/10/75</t>
  </si>
  <si>
    <t>15/07/74</t>
  </si>
  <si>
    <t>03/12/64</t>
  </si>
  <si>
    <t>15/01/79</t>
  </si>
  <si>
    <t>25/08/69</t>
  </si>
  <si>
    <t>17/01/74</t>
  </si>
  <si>
    <t>06/11/77</t>
  </si>
  <si>
    <t>11/10/69</t>
  </si>
  <si>
    <t>11/06/76</t>
  </si>
  <si>
    <t>14/04/77</t>
  </si>
  <si>
    <t>08/08/80</t>
  </si>
  <si>
    <t>09/12/72</t>
  </si>
  <si>
    <t>07/01/83</t>
  </si>
  <si>
    <t>22/02/82</t>
  </si>
  <si>
    <t>15/12/84</t>
  </si>
  <si>
    <t>03/09/78</t>
  </si>
  <si>
    <t>19/11/78</t>
  </si>
  <si>
    <t>07/11/83</t>
  </si>
  <si>
    <t>18/04/83</t>
  </si>
  <si>
    <t>12/06/77</t>
  </si>
  <si>
    <t>22/03/79</t>
  </si>
  <si>
    <t>02/10/81</t>
  </si>
  <si>
    <t>11/07/83</t>
  </si>
  <si>
    <t>26/02/81</t>
  </si>
  <si>
    <t>14/10/80</t>
  </si>
  <si>
    <t>01/04/82</t>
  </si>
  <si>
    <t>16/10/79</t>
  </si>
  <si>
    <t>12/12/85</t>
  </si>
  <si>
    <t>05/12/80</t>
  </si>
  <si>
    <t>11/02/84</t>
  </si>
  <si>
    <t>26/01/82</t>
  </si>
  <si>
    <t>11/11/78</t>
  </si>
  <si>
    <t>02/11/69</t>
  </si>
  <si>
    <t>25/06/78</t>
  </si>
  <si>
    <t>20/08/81</t>
  </si>
  <si>
    <t>26/09/76</t>
  </si>
  <si>
    <t>10/10/82</t>
  </si>
  <si>
    <t>02/09/81</t>
  </si>
  <si>
    <t>08/07/82</t>
  </si>
  <si>
    <t>25/02/83</t>
  </si>
  <si>
    <t>16/09/79</t>
  </si>
  <si>
    <t>15/04/85</t>
  </si>
  <si>
    <t>06/11/84</t>
  </si>
  <si>
    <t>21/02/85</t>
  </si>
  <si>
    <t>04/10/81</t>
  </si>
  <si>
    <t>03/11/85</t>
  </si>
  <si>
    <t>01/11/82</t>
  </si>
  <si>
    <t>21/05/83</t>
  </si>
  <si>
    <t>06/12/83</t>
  </si>
  <si>
    <t>18/01/82</t>
  </si>
  <si>
    <t>18/08/76</t>
  </si>
  <si>
    <t>07/03/83</t>
  </si>
  <si>
    <t>01/12/82</t>
  </si>
  <si>
    <t>27/12/82</t>
  </si>
  <si>
    <t>07/11/84</t>
  </si>
  <si>
    <t>24/04/79</t>
  </si>
  <si>
    <t>19/01/79</t>
  </si>
  <si>
    <t>11/03/84</t>
  </si>
  <si>
    <t>08/01/84</t>
  </si>
  <si>
    <t>20/11/81</t>
  </si>
  <si>
    <t>05/08/83</t>
  </si>
  <si>
    <t>09/03/85</t>
  </si>
  <si>
    <t>07/04/85</t>
  </si>
  <si>
    <t>10/11/85</t>
  </si>
  <si>
    <t>01/11/85</t>
  </si>
  <si>
    <t>04/02/85</t>
  </si>
  <si>
    <t>17/01/85</t>
  </si>
  <si>
    <t>30/05/82</t>
  </si>
  <si>
    <t>05/06/85</t>
  </si>
  <si>
    <t>22/06/85</t>
  </si>
  <si>
    <t>08/05/85</t>
  </si>
  <si>
    <t>02/01/86</t>
  </si>
  <si>
    <t>10/09/85</t>
  </si>
  <si>
    <t>26/02/85</t>
  </si>
  <si>
    <t>14/02/83</t>
  </si>
  <si>
    <t>11/01/82</t>
  </si>
  <si>
    <t>05/08/81</t>
  </si>
  <si>
    <t>05/05/84</t>
  </si>
  <si>
    <t>22/01/82</t>
  </si>
  <si>
    <t>06/07/81</t>
  </si>
  <si>
    <t>04/08/77</t>
  </si>
  <si>
    <t>05/12/85</t>
  </si>
  <si>
    <t>01/04/85</t>
  </si>
  <si>
    <t>06/12/85</t>
  </si>
  <si>
    <t>18/03/85</t>
  </si>
  <si>
    <t>07/10/85</t>
  </si>
  <si>
    <t>14/09/76</t>
  </si>
  <si>
    <t>19/10/83</t>
  </si>
  <si>
    <t>06/05/85</t>
  </si>
  <si>
    <t>08/03/85</t>
  </si>
  <si>
    <t>24/10/73</t>
  </si>
  <si>
    <t>10/06/85</t>
  </si>
  <si>
    <t>09/12/82</t>
  </si>
  <si>
    <t>12/05/84</t>
  </si>
  <si>
    <t>30/07/83</t>
  </si>
  <si>
    <t>18/02/77</t>
  </si>
  <si>
    <t>25/09/85</t>
  </si>
  <si>
    <t>11/08/85</t>
  </si>
  <si>
    <t>17/08/72</t>
  </si>
  <si>
    <t>08/10/78</t>
  </si>
  <si>
    <t>15/02/83</t>
  </si>
  <si>
    <t>23/08/81</t>
  </si>
  <si>
    <t>05/10/79</t>
  </si>
  <si>
    <t>09/07/79</t>
  </si>
  <si>
    <t>02/11/82</t>
  </si>
  <si>
    <t>20/05/85</t>
  </si>
  <si>
    <t>08/05/82</t>
  </si>
  <si>
    <t>30/09/82</t>
  </si>
  <si>
    <t>30/10/79</t>
  </si>
  <si>
    <t>10/11/82</t>
  </si>
  <si>
    <t>04/03/78</t>
  </si>
  <si>
    <t>20/05/79</t>
  </si>
  <si>
    <t>04/05/63</t>
  </si>
  <si>
    <t>21/09/79</t>
  </si>
  <si>
    <t>29/12/84</t>
  </si>
  <si>
    <t>26/11/84</t>
  </si>
  <si>
    <t>20/10/85</t>
  </si>
  <si>
    <t>13/08/77</t>
  </si>
  <si>
    <t>25/02/85</t>
  </si>
  <si>
    <t>09/02/84</t>
  </si>
  <si>
    <t>28/04/83</t>
  </si>
  <si>
    <t>05/04/84</t>
  </si>
  <si>
    <t>05/10/83</t>
  </si>
  <si>
    <t>27/03/83</t>
  </si>
  <si>
    <t>07/11/81</t>
  </si>
  <si>
    <t>24/07/85</t>
  </si>
  <si>
    <t>02/09/85</t>
  </si>
  <si>
    <t>07/10/84</t>
  </si>
  <si>
    <t>03/05/85</t>
  </si>
  <si>
    <t>19/10/82</t>
  </si>
  <si>
    <t>28/12/83</t>
  </si>
  <si>
    <t>31/10/85</t>
  </si>
  <si>
    <t>30/04/84</t>
  </si>
  <si>
    <t>26/01/85</t>
  </si>
  <si>
    <t>30/03/85</t>
  </si>
  <si>
    <t>23/04/77</t>
  </si>
  <si>
    <t>20/10/79</t>
  </si>
  <si>
    <t>20/03/84</t>
  </si>
  <si>
    <t>23/02/83</t>
  </si>
  <si>
    <t>18/12/72</t>
  </si>
  <si>
    <t>06/11/80</t>
  </si>
  <si>
    <t>29/03/82</t>
  </si>
  <si>
    <t>08/09/83</t>
  </si>
  <si>
    <t>12/09/85</t>
  </si>
  <si>
    <t>22/08/85</t>
  </si>
  <si>
    <t>16/10/85</t>
  </si>
  <si>
    <t>04/05/85</t>
  </si>
  <si>
    <t>24/11/83</t>
  </si>
  <si>
    <t>22/09/84</t>
  </si>
  <si>
    <t>01/05/86</t>
  </si>
  <si>
    <t>30/08/79</t>
  </si>
  <si>
    <t>14/01/85</t>
  </si>
  <si>
    <t>13/10/80</t>
  </si>
  <si>
    <t>28/02/85</t>
  </si>
  <si>
    <t>06/11/81</t>
  </si>
  <si>
    <t>07/02/85</t>
  </si>
  <si>
    <t>28/10/84</t>
  </si>
  <si>
    <t>10/08/85</t>
  </si>
  <si>
    <t>30/04/78</t>
  </si>
  <si>
    <t>23/11/83</t>
  </si>
  <si>
    <t>25/08/79</t>
  </si>
  <si>
    <t>24/09/84</t>
  </si>
  <si>
    <t>01/11/83</t>
  </si>
  <si>
    <t>11/08/74</t>
  </si>
  <si>
    <t>29/06/83</t>
  </si>
  <si>
    <t>10/07/79</t>
  </si>
  <si>
    <t>07/12/77</t>
  </si>
  <si>
    <t>14/09/81</t>
  </si>
  <si>
    <t>11/09/80</t>
  </si>
  <si>
    <t>02/03/83</t>
  </si>
  <si>
    <t>27/10/78</t>
  </si>
  <si>
    <t>24/09/83</t>
  </si>
  <si>
    <t>13/02/84</t>
  </si>
  <si>
    <t>15/02/85</t>
  </si>
  <si>
    <t>19/09/85</t>
  </si>
  <si>
    <t>13/11/85</t>
  </si>
  <si>
    <t>24/06/85</t>
  </si>
  <si>
    <t>06/03/85</t>
  </si>
  <si>
    <t>05/08/84</t>
  </si>
  <si>
    <t>23/10/84</t>
  </si>
  <si>
    <t>18/01/85</t>
  </si>
  <si>
    <t>27/10/83</t>
  </si>
  <si>
    <t>20/01/83</t>
  </si>
  <si>
    <t>30/10/78</t>
  </si>
  <si>
    <t>25/04/85</t>
  </si>
  <si>
    <t>12/02/83</t>
  </si>
  <si>
    <t>04/08/86</t>
  </si>
  <si>
    <t>19/05/85</t>
  </si>
  <si>
    <t>19/12/84</t>
  </si>
  <si>
    <t>12/12/78</t>
  </si>
  <si>
    <t>17/06/77</t>
  </si>
  <si>
    <t>12/01/84</t>
  </si>
  <si>
    <t>23/12/85</t>
  </si>
  <si>
    <t>16/01/85</t>
  </si>
  <si>
    <t>26/06/64</t>
  </si>
  <si>
    <t>27/02/81</t>
  </si>
  <si>
    <t>27/05/76</t>
  </si>
  <si>
    <t>03/03/78</t>
  </si>
  <si>
    <t>04/06/83</t>
  </si>
  <si>
    <t>29/01/81</t>
  </si>
  <si>
    <t>06/01/78</t>
  </si>
  <si>
    <t>15/05/83</t>
  </si>
  <si>
    <t>07/01/84</t>
  </si>
  <si>
    <t>08/03/79</t>
  </si>
  <si>
    <t>05/10/85</t>
  </si>
  <si>
    <t>11/06/84</t>
  </si>
  <si>
    <t>16/08/85</t>
  </si>
  <si>
    <t>18/12/84</t>
  </si>
  <si>
    <t>23/11/84</t>
  </si>
  <si>
    <t>06/09/84</t>
  </si>
  <si>
    <t>29/08/76</t>
  </si>
  <si>
    <t>06/10/84</t>
  </si>
  <si>
    <t>02/09/77</t>
  </si>
  <si>
    <t>19/09/76</t>
  </si>
  <si>
    <t>04/04/80</t>
  </si>
  <si>
    <t>05/12/78</t>
  </si>
  <si>
    <t>28/12/71</t>
  </si>
  <si>
    <t>17/03/77</t>
  </si>
  <si>
    <t>07/07/82</t>
  </si>
  <si>
    <t>14/10/82</t>
  </si>
  <si>
    <t>22/07/83</t>
  </si>
  <si>
    <t>29/05/83</t>
  </si>
  <si>
    <t>13/09/83</t>
  </si>
  <si>
    <t>17/04/81</t>
  </si>
  <si>
    <t>08/05/76</t>
  </si>
  <si>
    <t>14/03/85</t>
  </si>
  <si>
    <t>14/09/85</t>
  </si>
  <si>
    <t>20/12/84</t>
  </si>
  <si>
    <t>20/10/82</t>
  </si>
  <si>
    <t>11/07/80</t>
  </si>
  <si>
    <t>21/12/82</t>
  </si>
  <si>
    <t>22/09/82</t>
  </si>
  <si>
    <t>10/06/82</t>
  </si>
  <si>
    <t>01/11/84</t>
  </si>
  <si>
    <t>05/02/84</t>
  </si>
  <si>
    <t>09/08/81</t>
  </si>
  <si>
    <t>01/07/71</t>
  </si>
  <si>
    <t>06/12/84</t>
  </si>
  <si>
    <t>05/07/84</t>
  </si>
  <si>
    <t>10/11/84</t>
  </si>
  <si>
    <t>09/10/79</t>
  </si>
  <si>
    <t>13/09/82</t>
  </si>
  <si>
    <t>15/06/83</t>
  </si>
  <si>
    <t>04/12/78</t>
  </si>
  <si>
    <t>25/10/77</t>
  </si>
  <si>
    <t>04/10/80</t>
  </si>
  <si>
    <t>21/04/76</t>
  </si>
  <si>
    <t>14/01/81</t>
  </si>
  <si>
    <t>12/11/80</t>
  </si>
  <si>
    <t>31/08/85</t>
  </si>
  <si>
    <t>03/03/85</t>
  </si>
  <si>
    <t>28/11/84</t>
  </si>
  <si>
    <t>23/12/84</t>
  </si>
  <si>
    <t>02/07/85</t>
  </si>
  <si>
    <t>18/02/85</t>
  </si>
  <si>
    <t>16/12/85</t>
  </si>
  <si>
    <t>06/07/77</t>
  </si>
  <si>
    <t>21/01/75</t>
  </si>
  <si>
    <t>26/08/81</t>
  </si>
  <si>
    <t>17/11/74</t>
  </si>
  <si>
    <t>31/12/77</t>
  </si>
  <si>
    <t>02/11/83</t>
  </si>
  <si>
    <t>02/04/82</t>
  </si>
  <si>
    <t>27/08/84</t>
  </si>
  <si>
    <t>18/03/79</t>
  </si>
  <si>
    <t>17/08/82</t>
  </si>
  <si>
    <t>12/11/83</t>
  </si>
  <si>
    <t>12/02/84</t>
  </si>
  <si>
    <t>08/01/77</t>
  </si>
  <si>
    <t>10/06/70</t>
  </si>
  <si>
    <t>15/07/82</t>
  </si>
  <si>
    <t>31/10/77</t>
  </si>
  <si>
    <t>20/01/74</t>
  </si>
  <si>
    <t>07/09/82</t>
  </si>
  <si>
    <t>10/01/70</t>
  </si>
  <si>
    <t>19/05/69</t>
  </si>
  <si>
    <t>22/12/72</t>
  </si>
  <si>
    <t>25/08/82</t>
  </si>
  <si>
    <t>17/11/85</t>
  </si>
  <si>
    <t>05/08/73</t>
  </si>
  <si>
    <t>08/01/67</t>
  </si>
  <si>
    <t>18/04/78</t>
  </si>
  <si>
    <t>24/02/82</t>
  </si>
  <si>
    <t>20/10/83</t>
  </si>
  <si>
    <t>03/12/77</t>
  </si>
  <si>
    <t>10/06/83</t>
  </si>
  <si>
    <t>18/08/85</t>
  </si>
  <si>
    <t>15/10/84</t>
  </si>
  <si>
    <t>29/09/78</t>
  </si>
  <si>
    <t>28/10/83</t>
  </si>
  <si>
    <t>01/06/84</t>
  </si>
  <si>
    <t>11/04/77</t>
  </si>
  <si>
    <t>11/05/85</t>
  </si>
  <si>
    <t>20/07/84</t>
  </si>
  <si>
    <t>27/06/85</t>
  </si>
  <si>
    <t>26/07/82</t>
  </si>
  <si>
    <t>13/01/76</t>
  </si>
  <si>
    <t>02/01/84</t>
  </si>
  <si>
    <t>17/08/83</t>
  </si>
  <si>
    <t>13/08/84</t>
  </si>
  <si>
    <t>02/07/84</t>
  </si>
  <si>
    <t>18/11/83</t>
  </si>
  <si>
    <t>04/07/82</t>
  </si>
  <si>
    <t>13/04/83</t>
  </si>
  <si>
    <t>01/01/82</t>
  </si>
  <si>
    <t>04/10/78</t>
  </si>
  <si>
    <t>22/11/81</t>
  </si>
  <si>
    <t>01/01/75</t>
  </si>
  <si>
    <t>13/06/82</t>
  </si>
  <si>
    <t>20/11/83</t>
  </si>
  <si>
    <t>26/03/82</t>
  </si>
  <si>
    <t>19/10/84</t>
  </si>
  <si>
    <t>12/01/83</t>
  </si>
  <si>
    <t>27/08/79</t>
  </si>
  <si>
    <t>10/03/83</t>
  </si>
  <si>
    <t>19/04/82</t>
  </si>
  <si>
    <t>27/02/85</t>
  </si>
  <si>
    <t>19/01/85</t>
  </si>
  <si>
    <t>07/05/85</t>
  </si>
  <si>
    <t>06/05/82</t>
  </si>
  <si>
    <t>16/12/84</t>
  </si>
  <si>
    <t>18/10/81</t>
  </si>
  <si>
    <t>25/11/85</t>
  </si>
  <si>
    <t>16/06/84</t>
  </si>
  <si>
    <t>29/09/72</t>
  </si>
  <si>
    <t>01/04/83</t>
  </si>
  <si>
    <t>02/10/84</t>
  </si>
  <si>
    <t>24/04/84</t>
  </si>
  <si>
    <t>02/02/84</t>
  </si>
  <si>
    <t>15/06/80</t>
  </si>
  <si>
    <t>29/12/77</t>
  </si>
  <si>
    <t>20/08/82</t>
  </si>
  <si>
    <t>24/05/84</t>
  </si>
  <si>
    <t>04/07/84</t>
  </si>
  <si>
    <t>12/07/81</t>
  </si>
  <si>
    <t>01/08/84</t>
  </si>
  <si>
    <t>20/06/82</t>
  </si>
  <si>
    <t>Báo chí học</t>
  </si>
  <si>
    <t>Châu Á học</t>
  </si>
  <si>
    <t>Chính trị học</t>
  </si>
  <si>
    <t>Du lịch học</t>
  </si>
  <si>
    <t>Việt Nam học</t>
  </si>
  <si>
    <t>Lịch sử thế giới</t>
  </si>
  <si>
    <t>Lịch sử Việt Nam</t>
  </si>
  <si>
    <t>Dân tộc học</t>
  </si>
  <si>
    <t>Khảo cổ học</t>
  </si>
  <si>
    <t>Lưu trữ</t>
  </si>
  <si>
    <t>Ngôn ngữ học</t>
  </si>
  <si>
    <t>Lí luận ngôn ngữ</t>
  </si>
  <si>
    <t>Tâm lý học</t>
  </si>
  <si>
    <t>Xã hội học</t>
  </si>
  <si>
    <t>Hán Nôm</t>
  </si>
  <si>
    <t>Hán Nôm-liên kết</t>
  </si>
  <si>
    <t>Lịch sử thế giới- ĐH Vinh chuyển sang</t>
  </si>
  <si>
    <t>Vũ Thế</t>
  </si>
  <si>
    <t>Diên</t>
  </si>
  <si>
    <t>Châm</t>
  </si>
  <si>
    <t>Đào Thanh</t>
  </si>
  <si>
    <t>Sayavong</t>
  </si>
  <si>
    <t>07033001</t>
  </si>
  <si>
    <t>07033002</t>
  </si>
  <si>
    <t>07033003</t>
  </si>
  <si>
    <t>07033004</t>
  </si>
  <si>
    <t>07033005</t>
  </si>
  <si>
    <t>07033006</t>
  </si>
  <si>
    <t>07033007</t>
  </si>
  <si>
    <t>07033008</t>
  </si>
  <si>
    <t>07033009</t>
  </si>
  <si>
    <t>07033010</t>
  </si>
  <si>
    <t>07033011</t>
  </si>
  <si>
    <t>07033012</t>
  </si>
  <si>
    <t>07033013</t>
  </si>
  <si>
    <t>07033014</t>
  </si>
  <si>
    <t>07033015</t>
  </si>
  <si>
    <t>07033016</t>
  </si>
  <si>
    <t>07033017</t>
  </si>
  <si>
    <t>07033018</t>
  </si>
  <si>
    <t>07033019</t>
  </si>
  <si>
    <t>07033020</t>
  </si>
  <si>
    <t>07033021</t>
  </si>
  <si>
    <t>07033022</t>
  </si>
  <si>
    <t>07033023</t>
  </si>
  <si>
    <t>07033024</t>
  </si>
  <si>
    <t>07033025</t>
  </si>
  <si>
    <t>07033026</t>
  </si>
  <si>
    <t>07033027</t>
  </si>
  <si>
    <t>07033028</t>
  </si>
  <si>
    <t>07033029</t>
  </si>
  <si>
    <t>07033030</t>
  </si>
  <si>
    <t>07033031</t>
  </si>
  <si>
    <t>07033032</t>
  </si>
  <si>
    <t>07033033</t>
  </si>
  <si>
    <t>07033034</t>
  </si>
  <si>
    <t>07033035</t>
  </si>
  <si>
    <t>07033036</t>
  </si>
  <si>
    <t>07033037</t>
  </si>
  <si>
    <t>07033038</t>
  </si>
  <si>
    <t>07033039</t>
  </si>
  <si>
    <t>07033040</t>
  </si>
  <si>
    <t>07033041</t>
  </si>
  <si>
    <t>07033042</t>
  </si>
  <si>
    <t>07033043</t>
  </si>
  <si>
    <t>07033044</t>
  </si>
  <si>
    <t>07033045</t>
  </si>
  <si>
    <t>07033046</t>
  </si>
  <si>
    <t>07033047</t>
  </si>
  <si>
    <t>07033048</t>
  </si>
  <si>
    <t>07033049</t>
  </si>
  <si>
    <t>07033050</t>
  </si>
  <si>
    <t>07033051</t>
  </si>
  <si>
    <t>07033052</t>
  </si>
  <si>
    <t>07033053</t>
  </si>
  <si>
    <t>07033054</t>
  </si>
  <si>
    <t>07033055</t>
  </si>
  <si>
    <t>07033056</t>
  </si>
  <si>
    <t>07033065</t>
  </si>
  <si>
    <t>07033066</t>
  </si>
  <si>
    <t>07033067</t>
  </si>
  <si>
    <t>07033068</t>
  </si>
  <si>
    <t>07033069</t>
  </si>
  <si>
    <t>07033070</t>
  </si>
  <si>
    <t>07033071</t>
  </si>
  <si>
    <t>07033072</t>
  </si>
  <si>
    <t>07033073</t>
  </si>
  <si>
    <t>07033074</t>
  </si>
  <si>
    <t>07033075</t>
  </si>
  <si>
    <t>07033076</t>
  </si>
  <si>
    <t>07033077</t>
  </si>
  <si>
    <t>07033078</t>
  </si>
  <si>
    <t>07033079</t>
  </si>
  <si>
    <t>07033080</t>
  </si>
  <si>
    <t>07033081</t>
  </si>
  <si>
    <t>07033082</t>
  </si>
  <si>
    <t>07033083</t>
  </si>
  <si>
    <t>07033084</t>
  </si>
  <si>
    <t>07033085</t>
  </si>
  <si>
    <t>07033086</t>
  </si>
  <si>
    <t>07033087</t>
  </si>
  <si>
    <t>07033088</t>
  </si>
  <si>
    <t>07033089</t>
  </si>
  <si>
    <t>07033090</t>
  </si>
  <si>
    <t>07033091</t>
  </si>
  <si>
    <t>07033092</t>
  </si>
  <si>
    <t>07033093</t>
  </si>
  <si>
    <t>07033094</t>
  </si>
  <si>
    <t>07033095</t>
  </si>
  <si>
    <t>07033096</t>
  </si>
  <si>
    <t>07033097</t>
  </si>
  <si>
    <t>07033098</t>
  </si>
  <si>
    <t>07033099</t>
  </si>
  <si>
    <t>07033100</t>
  </si>
  <si>
    <t>07033101</t>
  </si>
  <si>
    <t>07033102</t>
  </si>
  <si>
    <t>07033103</t>
  </si>
  <si>
    <t>07033104</t>
  </si>
  <si>
    <t>07033105</t>
  </si>
  <si>
    <t>07033106</t>
  </si>
  <si>
    <t>07033107</t>
  </si>
  <si>
    <t>07033108</t>
  </si>
  <si>
    <t>07033109</t>
  </si>
  <si>
    <t>07033110</t>
  </si>
  <si>
    <t>07033111</t>
  </si>
  <si>
    <t>07033112</t>
  </si>
  <si>
    <t>07033113</t>
  </si>
  <si>
    <t>07033114</t>
  </si>
  <si>
    <t>07033115</t>
  </si>
  <si>
    <t>07033116</t>
  </si>
  <si>
    <t>07033117</t>
  </si>
  <si>
    <t>07033118</t>
  </si>
  <si>
    <t>07033119</t>
  </si>
  <si>
    <t>07033120</t>
  </si>
  <si>
    <t>07033121</t>
  </si>
  <si>
    <t>07033122</t>
  </si>
  <si>
    <t>07033123</t>
  </si>
  <si>
    <t>07033124</t>
  </si>
  <si>
    <t>07033125</t>
  </si>
  <si>
    <t>07033126</t>
  </si>
  <si>
    <t>07033127</t>
  </si>
  <si>
    <t>07033128</t>
  </si>
  <si>
    <t>07033129</t>
  </si>
  <si>
    <t>07033130</t>
  </si>
  <si>
    <t>07033131</t>
  </si>
  <si>
    <t>07033132</t>
  </si>
  <si>
    <t>07033133</t>
  </si>
  <si>
    <t>07033134</t>
  </si>
  <si>
    <t>07033135</t>
  </si>
  <si>
    <t>07033136</t>
  </si>
  <si>
    <t>07033137</t>
  </si>
  <si>
    <t>07033138</t>
  </si>
  <si>
    <t>07033139</t>
  </si>
  <si>
    <t>07033140</t>
  </si>
  <si>
    <t>07033141</t>
  </si>
  <si>
    <t>07033142</t>
  </si>
  <si>
    <t>07033143</t>
  </si>
  <si>
    <t>07033144</t>
  </si>
  <si>
    <t>07033145</t>
  </si>
  <si>
    <t>07033146</t>
  </si>
  <si>
    <t>07033147</t>
  </si>
  <si>
    <t>07033148</t>
  </si>
  <si>
    <t>07033149</t>
  </si>
  <si>
    <t>07033150</t>
  </si>
  <si>
    <t>07033151</t>
  </si>
  <si>
    <t>07033152</t>
  </si>
  <si>
    <t>07033153</t>
  </si>
  <si>
    <t>07033154</t>
  </si>
  <si>
    <t>07033155</t>
  </si>
  <si>
    <t>07033156</t>
  </si>
  <si>
    <t>07033157</t>
  </si>
  <si>
    <t>07033158</t>
  </si>
  <si>
    <t>07033159</t>
  </si>
  <si>
    <t>07033160</t>
  </si>
  <si>
    <t>07033161</t>
  </si>
  <si>
    <t>07033162</t>
  </si>
  <si>
    <t>07033163</t>
  </si>
  <si>
    <t>07033164</t>
  </si>
  <si>
    <t>07033165</t>
  </si>
  <si>
    <t>07033166</t>
  </si>
  <si>
    <t>07033167</t>
  </si>
  <si>
    <t>07033168</t>
  </si>
  <si>
    <t>07033169</t>
  </si>
  <si>
    <t>07033170</t>
  </si>
  <si>
    <t>07033171</t>
  </si>
  <si>
    <t>07033172</t>
  </si>
  <si>
    <t>07033173</t>
  </si>
  <si>
    <t>07033174</t>
  </si>
  <si>
    <t>07033175</t>
  </si>
  <si>
    <t>07033176</t>
  </si>
  <si>
    <t>07033177</t>
  </si>
  <si>
    <t>07033178</t>
  </si>
  <si>
    <t>07033179</t>
  </si>
  <si>
    <t>07033180</t>
  </si>
  <si>
    <t>07033181</t>
  </si>
  <si>
    <t>07033182</t>
  </si>
  <si>
    <t>07033183</t>
  </si>
  <si>
    <t>07033184</t>
  </si>
  <si>
    <t>07033185</t>
  </si>
  <si>
    <t>07033186</t>
  </si>
  <si>
    <t>07033187</t>
  </si>
  <si>
    <t>07033188</t>
  </si>
  <si>
    <t>07033189</t>
  </si>
  <si>
    <t>07033190</t>
  </si>
  <si>
    <t>07033191</t>
  </si>
  <si>
    <t>07033192</t>
  </si>
  <si>
    <t>07033193</t>
  </si>
  <si>
    <t>07033194</t>
  </si>
  <si>
    <t>07033195</t>
  </si>
  <si>
    <t>07033196</t>
  </si>
  <si>
    <t>07033197</t>
  </si>
  <si>
    <t>07033198</t>
  </si>
  <si>
    <t>07033199</t>
  </si>
  <si>
    <t>07033200</t>
  </si>
  <si>
    <t>07033201</t>
  </si>
  <si>
    <t>07033202</t>
  </si>
  <si>
    <t>07033203</t>
  </si>
  <si>
    <t>07033204</t>
  </si>
  <si>
    <t>07033205</t>
  </si>
  <si>
    <t>07033206</t>
  </si>
  <si>
    <t>07033207</t>
  </si>
  <si>
    <t>07033208</t>
  </si>
  <si>
    <t>07033209</t>
  </si>
  <si>
    <t>07033210</t>
  </si>
  <si>
    <t>07033211</t>
  </si>
  <si>
    <t>07033212</t>
  </si>
  <si>
    <t>07033213</t>
  </si>
  <si>
    <t>07033214</t>
  </si>
  <si>
    <t>07033215</t>
  </si>
  <si>
    <t>07033216</t>
  </si>
  <si>
    <t>07033217</t>
  </si>
  <si>
    <t>07033218</t>
  </si>
  <si>
    <t>07033219</t>
  </si>
  <si>
    <t>07033220</t>
  </si>
  <si>
    <t>07033221</t>
  </si>
  <si>
    <t>07033222</t>
  </si>
  <si>
    <t>07033223</t>
  </si>
  <si>
    <t>07033224</t>
  </si>
  <si>
    <t>07033225</t>
  </si>
  <si>
    <t>07033226</t>
  </si>
  <si>
    <t>07033227</t>
  </si>
  <si>
    <t>07033228</t>
  </si>
  <si>
    <t>07033229</t>
  </si>
  <si>
    <t>07033230</t>
  </si>
  <si>
    <t>07033231</t>
  </si>
  <si>
    <t>07033232</t>
  </si>
  <si>
    <t>07033233</t>
  </si>
  <si>
    <t>07033234</t>
  </si>
  <si>
    <t>07033235</t>
  </si>
  <si>
    <t>07033236</t>
  </si>
  <si>
    <t>07033237</t>
  </si>
  <si>
    <t>07033238</t>
  </si>
  <si>
    <t>07033239</t>
  </si>
  <si>
    <t>07033240</t>
  </si>
  <si>
    <t>07033241</t>
  </si>
  <si>
    <t>07033242</t>
  </si>
  <si>
    <t>07033243</t>
  </si>
  <si>
    <t>07033244</t>
  </si>
  <si>
    <t>07033245</t>
  </si>
  <si>
    <t>07033246</t>
  </si>
  <si>
    <t>07033247</t>
  </si>
  <si>
    <t>07033248</t>
  </si>
  <si>
    <t>07033249</t>
  </si>
  <si>
    <t>07033250</t>
  </si>
  <si>
    <t>07033251</t>
  </si>
  <si>
    <t>07033252</t>
  </si>
  <si>
    <t>07033253</t>
  </si>
  <si>
    <t>07033254</t>
  </si>
  <si>
    <t>07033255</t>
  </si>
  <si>
    <t>07033256</t>
  </si>
  <si>
    <t>07033257</t>
  </si>
  <si>
    <t>07033258</t>
  </si>
  <si>
    <t>07033259</t>
  </si>
  <si>
    <t>07033260</t>
  </si>
  <si>
    <t>07033261</t>
  </si>
  <si>
    <t>07033262</t>
  </si>
  <si>
    <t>07033263</t>
  </si>
  <si>
    <t>07033264</t>
  </si>
  <si>
    <t>07033265</t>
  </si>
  <si>
    <t>07033266</t>
  </si>
  <si>
    <t>07033267</t>
  </si>
  <si>
    <t>07033268</t>
  </si>
  <si>
    <t>07033269</t>
  </si>
  <si>
    <t>07033270</t>
  </si>
  <si>
    <t>07033271</t>
  </si>
  <si>
    <t>07033272</t>
  </si>
  <si>
    <t>07033273</t>
  </si>
  <si>
    <t>07033274</t>
  </si>
  <si>
    <t>07033275</t>
  </si>
  <si>
    <t>07033276</t>
  </si>
  <si>
    <t>07033277</t>
  </si>
  <si>
    <t>07033278</t>
  </si>
  <si>
    <t>07033279</t>
  </si>
  <si>
    <t>07033280</t>
  </si>
  <si>
    <t>07033281</t>
  </si>
  <si>
    <t>07033282</t>
  </si>
  <si>
    <t>07033283</t>
  </si>
  <si>
    <t>07033284</t>
  </si>
  <si>
    <t>07033285</t>
  </si>
  <si>
    <t>07033286</t>
  </si>
  <si>
    <t>07033287</t>
  </si>
  <si>
    <t>07033288</t>
  </si>
  <si>
    <t>07033289</t>
  </si>
  <si>
    <t>07033290</t>
  </si>
  <si>
    <t>07033291</t>
  </si>
  <si>
    <t>07033292</t>
  </si>
  <si>
    <t>07033293</t>
  </si>
  <si>
    <t>07033294</t>
  </si>
  <si>
    <t>07033295</t>
  </si>
  <si>
    <t>07033296</t>
  </si>
  <si>
    <t>07033297</t>
  </si>
  <si>
    <t>07033298</t>
  </si>
  <si>
    <t>07033299</t>
  </si>
  <si>
    <t>07033300</t>
  </si>
  <si>
    <t>07033301</t>
  </si>
  <si>
    <t>07033302</t>
  </si>
  <si>
    <t>07033303</t>
  </si>
  <si>
    <t>07033304</t>
  </si>
  <si>
    <t>07033305</t>
  </si>
  <si>
    <t>07033306</t>
  </si>
  <si>
    <t>07033307</t>
  </si>
  <si>
    <t>07033308</t>
  </si>
  <si>
    <t>07033309</t>
  </si>
  <si>
    <t>07033310</t>
  </si>
  <si>
    <t>07033311</t>
  </si>
  <si>
    <t>07033312</t>
  </si>
  <si>
    <t>07033313</t>
  </si>
  <si>
    <t>07033314</t>
  </si>
  <si>
    <t>07033315</t>
  </si>
  <si>
    <t>07033316</t>
  </si>
  <si>
    <t>07033317</t>
  </si>
  <si>
    <t>07033318</t>
  </si>
  <si>
    <t>07033319</t>
  </si>
  <si>
    <t>07033320</t>
  </si>
  <si>
    <t>07033321</t>
  </si>
  <si>
    <t>07033322</t>
  </si>
  <si>
    <t>07033323</t>
  </si>
  <si>
    <t>07033324</t>
  </si>
  <si>
    <t>07033325</t>
  </si>
  <si>
    <t>07033326</t>
  </si>
  <si>
    <t>07033327</t>
  </si>
  <si>
    <t>07033328</t>
  </si>
  <si>
    <t>07033329</t>
  </si>
  <si>
    <t>07033330</t>
  </si>
  <si>
    <t>07033331</t>
  </si>
  <si>
    <t>07033332</t>
  </si>
  <si>
    <t>07033333</t>
  </si>
  <si>
    <t>07033334</t>
  </si>
  <si>
    <t>07033335</t>
  </si>
  <si>
    <t>07033336</t>
  </si>
  <si>
    <t>07033337</t>
  </si>
  <si>
    <t>07033338</t>
  </si>
  <si>
    <t>07033339</t>
  </si>
  <si>
    <t>07033340</t>
  </si>
  <si>
    <t>07033341</t>
  </si>
  <si>
    <t>07033342</t>
  </si>
  <si>
    <t>07033343</t>
  </si>
  <si>
    <t>07033344</t>
  </si>
  <si>
    <t>07033345</t>
  </si>
  <si>
    <t>07033396</t>
  </si>
  <si>
    <t>07033397</t>
  </si>
  <si>
    <t>07033398</t>
  </si>
  <si>
    <t>07033399</t>
  </si>
  <si>
    <t>07033400</t>
  </si>
  <si>
    <t>07033401</t>
  </si>
  <si>
    <t>07033402</t>
  </si>
  <si>
    <t>07033403</t>
  </si>
  <si>
    <t>07033404</t>
  </si>
  <si>
    <t>07033405</t>
  </si>
  <si>
    <t>07033406</t>
  </si>
  <si>
    <t>07033407</t>
  </si>
  <si>
    <t>07033408</t>
  </si>
  <si>
    <t>07033409</t>
  </si>
  <si>
    <t>07033410</t>
  </si>
  <si>
    <t>07033411</t>
  </si>
  <si>
    <t>07033412</t>
  </si>
  <si>
    <t>07033413</t>
  </si>
  <si>
    <t>07033414</t>
  </si>
  <si>
    <t>07033415</t>
  </si>
  <si>
    <t>07033416</t>
  </si>
  <si>
    <t>07033417</t>
  </si>
  <si>
    <t>07033418</t>
  </si>
  <si>
    <t>07033419</t>
  </si>
  <si>
    <t>07033420</t>
  </si>
  <si>
    <t>07033421</t>
  </si>
  <si>
    <t>07033422</t>
  </si>
  <si>
    <t>07033423</t>
  </si>
  <si>
    <t>07033424</t>
  </si>
  <si>
    <t>07033425</t>
  </si>
  <si>
    <t>07033426</t>
  </si>
  <si>
    <t>07033427</t>
  </si>
  <si>
    <t>07033428</t>
  </si>
  <si>
    <t>07033429</t>
  </si>
  <si>
    <t>07033430</t>
  </si>
  <si>
    <t>07033431</t>
  </si>
  <si>
    <t>07033432</t>
  </si>
  <si>
    <t>07033433</t>
  </si>
  <si>
    <t>07033434</t>
  </si>
  <si>
    <t>07033435</t>
  </si>
  <si>
    <t>07033436</t>
  </si>
  <si>
    <t>07033437</t>
  </si>
  <si>
    <t>07033438</t>
  </si>
  <si>
    <t>07033439</t>
  </si>
  <si>
    <t>07033440</t>
  </si>
  <si>
    <t>07033441</t>
  </si>
  <si>
    <t>07033442</t>
  </si>
  <si>
    <t>07033443</t>
  </si>
  <si>
    <t>07033444</t>
  </si>
  <si>
    <t>07033445</t>
  </si>
  <si>
    <t>07033446</t>
  </si>
  <si>
    <t>07033447</t>
  </si>
  <si>
    <t>07033448</t>
  </si>
  <si>
    <t>07033449</t>
  </si>
  <si>
    <t>07033450</t>
  </si>
  <si>
    <t>07033451</t>
  </si>
  <si>
    <t>07033452</t>
  </si>
  <si>
    <t>07033453</t>
  </si>
  <si>
    <t>07033454</t>
  </si>
  <si>
    <t>07033455</t>
  </si>
  <si>
    <t>07033456</t>
  </si>
  <si>
    <t>07033457</t>
  </si>
  <si>
    <t>07033458</t>
  </si>
  <si>
    <t>07033459</t>
  </si>
  <si>
    <t>07033460</t>
  </si>
  <si>
    <t>07033461</t>
  </si>
  <si>
    <t>07033462</t>
  </si>
  <si>
    <t>07033463</t>
  </si>
  <si>
    <t>07033464</t>
  </si>
  <si>
    <t>07033465</t>
  </si>
  <si>
    <t>07033466</t>
  </si>
  <si>
    <t>07033467</t>
  </si>
  <si>
    <t>07033468</t>
  </si>
  <si>
    <t>07033469</t>
  </si>
  <si>
    <t>07033470</t>
  </si>
  <si>
    <t>07033471</t>
  </si>
  <si>
    <t>07033472</t>
  </si>
  <si>
    <t>07033473</t>
  </si>
  <si>
    <t>07033474</t>
  </si>
  <si>
    <t>07033475</t>
  </si>
  <si>
    <t>07033476</t>
  </si>
  <si>
    <t>QH-07-X-CH.BC</t>
  </si>
  <si>
    <t>QH-07-X-CH.CAH</t>
  </si>
  <si>
    <t>QH-07-X-CH.CSKHCN</t>
  </si>
  <si>
    <t>QH-07-X-CH.CTH</t>
  </si>
  <si>
    <t>QH-07-X-CH.DTH</t>
  </si>
  <si>
    <t>QH-07-X-CH.DLH</t>
  </si>
  <si>
    <t>QH-07-X-CH.HN</t>
  </si>
  <si>
    <t>QH-07-X-CH.HCMH</t>
  </si>
  <si>
    <t>QH-07-X-CH.KCH</t>
  </si>
  <si>
    <t>QH-07-X-CH.KHTV</t>
  </si>
  <si>
    <t>QH-07-X-CH.LLNN</t>
  </si>
  <si>
    <t>QH-07-X-CH.LSTG</t>
  </si>
  <si>
    <t>QH-07-X-CH.LSVN</t>
  </si>
  <si>
    <t>QH-07-X-CH.LSD</t>
  </si>
  <si>
    <t>QH-07-X-CH.LT&amp;TL</t>
  </si>
  <si>
    <t>QH-07-X-CH.LLVH</t>
  </si>
  <si>
    <t>QH-07-X-CH.NNH</t>
  </si>
  <si>
    <t>QH-07-X-CH.QHQT</t>
  </si>
  <si>
    <t>QH-07-X-CH.QLKHCN</t>
  </si>
  <si>
    <t>QH-07-X-CH.TLH</t>
  </si>
  <si>
    <t>QH-07-X-CH.VHNN</t>
  </si>
  <si>
    <t>QH-07-X-CH.VHVN</t>
  </si>
  <si>
    <t>QH-07-X-CH.XHH</t>
  </si>
  <si>
    <t>Hà Nội, ngày        tháng   năm 2008</t>
  </si>
  <si>
    <t>GIÁO VIÊN</t>
  </si>
  <si>
    <t>(Ký và ghi rõ họ tên)</t>
  </si>
  <si>
    <t>Điểm TP</t>
  </si>
  <si>
    <t>Ghi chú</t>
  </si>
  <si>
    <t>Hồ Ngọc</t>
  </si>
  <si>
    <t>Ngô Thị Mai</t>
  </si>
  <si>
    <t xml:space="preserve"> </t>
  </si>
  <si>
    <t>Chuyên ngành Lưu trữ</t>
  </si>
  <si>
    <t xml:space="preserve">Chuyên ngành </t>
  </si>
  <si>
    <t>Triết học Mác - Lênin</t>
  </si>
  <si>
    <t>Khoa Triết học</t>
  </si>
  <si>
    <t>Học kỳ I (2007 - 2008)</t>
  </si>
  <si>
    <t>Số Học viên:</t>
  </si>
  <si>
    <t>CS KH&amp;CN</t>
  </si>
  <si>
    <t>HCM học</t>
  </si>
  <si>
    <t>KH thư viện</t>
  </si>
  <si>
    <t>LS ĐCSVN</t>
  </si>
  <si>
    <t>Lịch sử VN</t>
  </si>
  <si>
    <t>LL Văn học</t>
  </si>
  <si>
    <t>QHQT</t>
  </si>
  <si>
    <t>QLKH&amp;CN</t>
  </si>
  <si>
    <t xml:space="preserve">Tâm lí học </t>
  </si>
  <si>
    <t>VH nước ngoài</t>
  </si>
  <si>
    <t>VHVN - Liên kết</t>
  </si>
  <si>
    <t>Văn học VN</t>
  </si>
  <si>
    <t>XHH-liên kết</t>
  </si>
  <si>
    <t>QHQT (K06-09)</t>
  </si>
  <si>
    <t>LSTG cận đại và hiện đại</t>
  </si>
  <si>
    <t>Trần Trung</t>
  </si>
  <si>
    <t>24/12/1980</t>
  </si>
  <si>
    <t>ko có điểm giữa kỳ vì chưa nộp Học phí</t>
  </si>
  <si>
    <t>ko thi</t>
  </si>
  <si>
    <t>R</t>
  </si>
  <si>
    <t>Chưa nộp HP</t>
  </si>
  <si>
    <t>Không học không thi</t>
  </si>
  <si>
    <t>Hoãn thi giữa kỳ</t>
  </si>
  <si>
    <t>Xin nghỉ học</t>
  </si>
  <si>
    <t>Hoãn học</t>
  </si>
  <si>
    <t>Không thi</t>
  </si>
  <si>
    <t>05/11/83</t>
  </si>
  <si>
    <t>Đình chỉ Giữa kỳ</t>
  </si>
  <si>
    <t>Sử dụng tài liệu</t>
  </si>
  <si>
    <t>Hoãn thi cuối kỳ</t>
  </si>
  <si>
    <t>Điểm ý thức? Giữa kỳ đình chỉ</t>
  </si>
  <si>
    <t>Cuối kỳ ko thi.Chưa nộp TL</t>
  </si>
  <si>
    <t>Ko thi giữa kỳ, chưa điểm ý thức</t>
  </si>
  <si>
    <t>Ko thi</t>
  </si>
  <si>
    <t>Chưa điểm ý thức.Đình chỉ giữa kỳ</t>
  </si>
  <si>
    <t>Ko thi, ko nộp TL</t>
  </si>
  <si>
    <t>Hoãn học, hoãn thi</t>
  </si>
  <si>
    <t>Chuyển cơ sở ĐT</t>
  </si>
  <si>
    <t>Đình chỉ</t>
  </si>
  <si>
    <t>ko nộp HP</t>
  </si>
  <si>
    <t>Bỏ thi giữa kỳ</t>
  </si>
  <si>
    <t>Bỏ thi giữa kỳ.ko điểm ý thức</t>
  </si>
  <si>
    <t>Ko học. ko thi</t>
  </si>
  <si>
    <t>GK ko nộp HP ko thi. Sửa năm sinh 86-&gt;83</t>
  </si>
  <si>
    <t>GK ko nộp HP ko thi.</t>
  </si>
  <si>
    <t>Trần Thanh</t>
  </si>
  <si>
    <t>Việt</t>
  </si>
  <si>
    <t>Sau phúc khảo</t>
  </si>
  <si>
    <t>ko học, ko thi</t>
  </si>
  <si>
    <t xml:space="preserve">       Báo chí học         (K06-09)</t>
  </si>
  <si>
    <t>419 học viên</t>
  </si>
  <si>
    <t>Lý luận văn học      (K06-09)</t>
  </si>
  <si>
    <t>Đỗ Thị Thuỳ</t>
  </si>
  <si>
    <t xml:space="preserve"> Dương</t>
  </si>
  <si>
    <t>Văn học nước ngoài</t>
  </si>
  <si>
    <t>Nguyễn Lê</t>
  </si>
  <si>
    <t>Trần Ngọc</t>
  </si>
  <si>
    <t>Dương Quốc</t>
  </si>
  <si>
    <t>Phan Đăng Hồng</t>
  </si>
  <si>
    <t>QHQT- K 06-09</t>
  </si>
  <si>
    <t>Lý Doanh</t>
  </si>
  <si>
    <t>Doanh</t>
  </si>
  <si>
    <t>Ngôn ngữ học.     K 05-08</t>
  </si>
  <si>
    <t>Đỗ Trường</t>
  </si>
  <si>
    <t>Lịch sử thế giới. Viện ĐNA</t>
  </si>
  <si>
    <t>Du lịch học.K05-08</t>
  </si>
  <si>
    <t>Lê Mạnh</t>
  </si>
  <si>
    <t>Nhân học</t>
  </si>
  <si>
    <t>Viện con người</t>
  </si>
  <si>
    <t>Nguyễn Lãm</t>
  </si>
  <si>
    <t>K 06-09</t>
  </si>
  <si>
    <t>Nguyễn Thu Trang</t>
  </si>
  <si>
    <t>Ko nộp HP giữa kỳ</t>
  </si>
  <si>
    <t>ko đóng HP</t>
  </si>
  <si>
    <t>07033477</t>
  </si>
  <si>
    <t>422 học viên</t>
  </si>
  <si>
    <t>Báo để thi lại cuối kỳ. 0947.426.558</t>
  </si>
  <si>
    <t>Điểm 1  (Ý thức)</t>
  </si>
  <si>
    <t xml:space="preserve">Lý luận văn học      </t>
  </si>
  <si>
    <t>(K06-09)</t>
  </si>
  <si>
    <t>oki</t>
  </si>
  <si>
    <t>Lý Doanh Doanh</t>
  </si>
  <si>
    <t>Mạc Tử</t>
  </si>
  <si>
    <t>Kỳ</t>
  </si>
  <si>
    <t>Thân Trung</t>
  </si>
  <si>
    <t>Điểm 3 (Cuối kỳ)</t>
  </si>
  <si>
    <t xml:space="preserve">     Số tín chỉ:</t>
  </si>
  <si>
    <t xml:space="preserve">     Họ và tên GV:</t>
  </si>
  <si>
    <t xml:space="preserve">     Số Học viên:</t>
  </si>
  <si>
    <t xml:space="preserve">     Học kỳ:</t>
  </si>
  <si>
    <t>Lớp Triết 01</t>
  </si>
  <si>
    <t>Hồ Thị Giang</t>
  </si>
  <si>
    <t>Nguyễn Thu Hà</t>
  </si>
  <si>
    <t>Ngô Thị Hà</t>
  </si>
  <si>
    <t>Lê Thị Tuyết</t>
  </si>
  <si>
    <t>Lê Thị Tuyết Hạnh</t>
  </si>
  <si>
    <t>Hoàng Minh Hạnh</t>
  </si>
  <si>
    <t>Bùi Thu Hoài</t>
  </si>
  <si>
    <t>Đỗ Viết Hùng</t>
  </si>
  <si>
    <t>Lương Thị Hương</t>
  </si>
  <si>
    <t>Nguyễn Thương Huyền</t>
  </si>
  <si>
    <t>Hoàng Thị Kim Khánh</t>
  </si>
  <si>
    <t>Đoàn Xuân Kỳ</t>
  </si>
  <si>
    <t>Nguyễn Nhật Minh</t>
  </si>
  <si>
    <t>Trương Thị Lê Na</t>
  </si>
  <si>
    <t>Phan Thanh Nam</t>
  </si>
  <si>
    <t>Nguyễn Thị Hồng Nga</t>
  </si>
  <si>
    <t>Trần Thuỳ Ngân</t>
  </si>
  <si>
    <t>Tô Thị Nhàn</t>
  </si>
  <si>
    <t>Lê Hà Phương</t>
  </si>
  <si>
    <t>Nguyễn Thị Thu Phương</t>
  </si>
  <si>
    <t>Lê Thị Mai Phương</t>
  </si>
  <si>
    <t>Nguyễn Việt Quỳnh</t>
  </si>
  <si>
    <t>Nguyễn Tiến Sỹ</t>
  </si>
  <si>
    <t>Nguyễn Đức Thành</t>
  </si>
  <si>
    <t>Nguyễn Hương Thảo</t>
  </si>
  <si>
    <t>Lê Thị Thảo</t>
  </si>
  <si>
    <t>Lê Thị Thơm</t>
  </si>
  <si>
    <t>Trịnh Thanh Thuận</t>
  </si>
  <si>
    <t>Hà Thị Bích Thuỷ</t>
  </si>
  <si>
    <t>Lê Thị Thanh Thuỷ</t>
  </si>
  <si>
    <t>Ma Thị Yến</t>
  </si>
  <si>
    <t>Vũ Hải Yến</t>
  </si>
  <si>
    <t>Phạm Thị Hồng Thắm</t>
  </si>
  <si>
    <t>Trần Hương Trà</t>
  </si>
  <si>
    <t>Nguyễn Phương Dung</t>
  </si>
  <si>
    <t>Mai Thị Thanh Dung</t>
  </si>
  <si>
    <t>Bùi Thị Duyên</t>
  </si>
  <si>
    <t>Lê Ngọc Hà</t>
  </si>
  <si>
    <t>Hà Thị Hạnh</t>
  </si>
  <si>
    <t>Trần Thị Thu Hiền</t>
  </si>
  <si>
    <t>Lê Quốc Hiếu</t>
  </si>
  <si>
    <t>Vũ Thị Loan</t>
  </si>
  <si>
    <t>Bùi Thị Mai</t>
  </si>
  <si>
    <t>Lê Thị Mơ</t>
  </si>
  <si>
    <t>Nguyễn Hà My</t>
  </si>
  <si>
    <t>Nguyễn Thị Tố Ngân</t>
  </si>
  <si>
    <t>Đặng Thị Thu Thảo</t>
  </si>
  <si>
    <t>Hoàng Thị Bích</t>
  </si>
  <si>
    <t>Hoàng Thị Bích Thảo</t>
  </si>
  <si>
    <t>Phạm Thu Trang</t>
  </si>
  <si>
    <t>Nguyễn Anh Tuấn</t>
  </si>
  <si>
    <t>Nguyễn Thị Vân</t>
  </si>
  <si>
    <t>Hoàng Thị Hải Yến</t>
  </si>
  <si>
    <t>Nguyễn Hồng Yến</t>
  </si>
  <si>
    <t>Hoàng Thị Dung</t>
  </si>
  <si>
    <t>Nguyễn Thị Hà</t>
  </si>
  <si>
    <t>Lê Thị Tuân</t>
  </si>
  <si>
    <t>Phạm Thu Huyền</t>
  </si>
  <si>
    <t>Nguyễn Thị Thanh Loan</t>
  </si>
  <si>
    <t>Hoàng Thị Nga</t>
  </si>
  <si>
    <t>Đặng Chinh Ngọc</t>
  </si>
  <si>
    <t>Nguyễn Thị Thúy</t>
  </si>
  <si>
    <t>Đàm Thị Thúy</t>
  </si>
  <si>
    <t>Hoàng Đăng Trị</t>
  </si>
  <si>
    <t>Nguyễn Hải Anh</t>
  </si>
  <si>
    <t>Lê Thị Viên Anh</t>
  </si>
  <si>
    <t>Nguyễn Thị Dung</t>
  </si>
  <si>
    <t>Trần Duy Thùy Dương</t>
  </si>
  <si>
    <t>Mai Thị Thùy Dương</t>
  </si>
  <si>
    <t>Bùi Thanh Hà</t>
  </si>
  <si>
    <t>Nguyễn Thanh Hải</t>
  </si>
  <si>
    <t>Vũ Thị Lệ Hằng</t>
  </si>
  <si>
    <t>Nguyễn Thu Hạnh</t>
  </si>
  <si>
    <t>Nguyễn Thị Huế</t>
  </si>
  <si>
    <t>Lê Thị Tuyết Minh</t>
  </si>
  <si>
    <t>Lại Diệu Kiều Phương</t>
  </si>
  <si>
    <t>Trịnh Minh Tâm</t>
  </si>
  <si>
    <t>Lê Hồng Vân</t>
  </si>
  <si>
    <t>Nguyễn Thành Vinh</t>
  </si>
  <si>
    <t>Nguyễn Quang Vũ</t>
  </si>
  <si>
    <t>Vũ Thị Huyền Trang</t>
  </si>
  <si>
    <t>Đinh Hà Thu</t>
  </si>
  <si>
    <t>Jirayoot Seemung</t>
  </si>
  <si>
    <t>Thouchnok Sattayvinit</t>
  </si>
  <si>
    <t>Nguyễn Thanh Trang</t>
  </si>
  <si>
    <t>Đào Hải Anh</t>
  </si>
  <si>
    <t>Lê Thị Giang</t>
  </si>
  <si>
    <t>Trần Thị Mai Hương</t>
  </si>
  <si>
    <t>Trần Thị Nhung</t>
  </si>
  <si>
    <t>Mai Thị Bình</t>
  </si>
  <si>
    <t>Lê Thị Diệp</t>
  </si>
  <si>
    <t>Nguyễn Thúy Hà</t>
  </si>
  <si>
    <t>Nguyễn Minh Hạnh</t>
  </si>
  <si>
    <t>Vũ Thị Hoài</t>
  </si>
  <si>
    <t>Trần Thị Thu Hương</t>
  </si>
  <si>
    <t>Phạm Thu Nga</t>
  </si>
  <si>
    <t>Phùng Thị Ngân</t>
  </si>
  <si>
    <t>Nguyễn Thị Nghệ</t>
  </si>
  <si>
    <t>Nguyễn Thị Hồng Nhung</t>
  </si>
  <si>
    <t>Nguyễn Tuyết Nhung</t>
  </si>
  <si>
    <t>Phùng Thị Hồng Thanh</t>
  </si>
  <si>
    <t>Đào Thị Thảo</t>
  </si>
  <si>
    <t>Lê Thị Hoài Thu</t>
  </si>
  <si>
    <t>Trần Thị Hồng Thúy</t>
  </si>
  <si>
    <t>Nguyễn Hữu Tiệp</t>
  </si>
  <si>
    <t>Nguyễn Thị Thùy Trang</t>
  </si>
  <si>
    <t>Chu Thị Hồng Vân</t>
  </si>
  <si>
    <t>Nguyễn Thị Hồng Vân</t>
  </si>
  <si>
    <t>Hoàng Thị Phương Thảo</t>
  </si>
  <si>
    <t>Trần Vương Long</t>
  </si>
  <si>
    <t>STT</t>
  </si>
  <si>
    <t>Mã HV</t>
  </si>
  <si>
    <t>Họ tên</t>
  </si>
  <si>
    <t>Giới tính</t>
  </si>
  <si>
    <t>Mobile</t>
  </si>
  <si>
    <t>Khóa</t>
  </si>
  <si>
    <t>Ngành</t>
  </si>
  <si>
    <t>Lớp</t>
  </si>
  <si>
    <t>Mã CTĐT</t>
  </si>
  <si>
    <t>1 </t>
  </si>
  <si>
    <t>Nữ</t>
  </si>
  <si>
    <t>QH-2012-X</t>
  </si>
  <si>
    <t>Báo chí</t>
  </si>
  <si>
    <t>QH-12-X-CH.BC</t>
  </si>
  <si>
    <t>2 </t>
  </si>
  <si>
    <t>3 </t>
  </si>
  <si>
    <t>4 </t>
  </si>
  <si>
    <t>5 </t>
  </si>
  <si>
    <t>Lê Bích Hạnh</t>
  </si>
  <si>
    <t>6 </t>
  </si>
  <si>
    <t>7 </t>
  </si>
  <si>
    <t>An Thị Thu Hiền</t>
  </si>
  <si>
    <t>8 </t>
  </si>
  <si>
    <t>Đinh Thị Hiền</t>
  </si>
  <si>
    <t>9 </t>
  </si>
  <si>
    <t>10 </t>
  </si>
  <si>
    <t>Đinh Thị Thanh Hoài</t>
  </si>
  <si>
    <t>11 </t>
  </si>
  <si>
    <t>12 </t>
  </si>
  <si>
    <t>Nguyễn Thị Thanh Huyền</t>
  </si>
  <si>
    <t>13 </t>
  </si>
  <si>
    <t>14 </t>
  </si>
  <si>
    <t>15 </t>
  </si>
  <si>
    <t>16 </t>
  </si>
  <si>
    <t>17 </t>
  </si>
  <si>
    <t>18 </t>
  </si>
  <si>
    <t>19 </t>
  </si>
  <si>
    <t>20 </t>
  </si>
  <si>
    <t>Vũ Ngọc Mai</t>
  </si>
  <si>
    <t>21 </t>
  </si>
  <si>
    <t>Nguyễn Xuân Miên</t>
  </si>
  <si>
    <t>22 </t>
  </si>
  <si>
    <t>Hà Khắc Minh</t>
  </si>
  <si>
    <t>23 </t>
  </si>
  <si>
    <t>24 </t>
  </si>
  <si>
    <t>25 </t>
  </si>
  <si>
    <t>26 </t>
  </si>
  <si>
    <t>27 </t>
  </si>
  <si>
    <t>28 </t>
  </si>
  <si>
    <t>Nguyễn Ánh Nguyệt</t>
  </si>
  <si>
    <t>29 </t>
  </si>
  <si>
    <t>30 </t>
  </si>
  <si>
    <t>31 </t>
  </si>
  <si>
    <t>32 </t>
  </si>
  <si>
    <t>33 </t>
  </si>
  <si>
    <t>Vũ Thị Mỹ Phương</t>
  </si>
  <si>
    <t>34 </t>
  </si>
  <si>
    <t>35 </t>
  </si>
  <si>
    <t>36 </t>
  </si>
  <si>
    <t>37 </t>
  </si>
  <si>
    <t>38 </t>
  </si>
  <si>
    <t>39 </t>
  </si>
  <si>
    <t>40 </t>
  </si>
  <si>
    <t>41 </t>
  </si>
  <si>
    <t>42 </t>
  </si>
  <si>
    <t>43 </t>
  </si>
  <si>
    <t>Nguyễn Xuân Toàn</t>
  </si>
  <si>
    <t>44 </t>
  </si>
  <si>
    <t>45 </t>
  </si>
  <si>
    <t>Nguyễn Hữu Tuấn</t>
  </si>
  <si>
    <t>46 </t>
  </si>
  <si>
    <t>47 </t>
  </si>
  <si>
    <t>Nguyễn Thị Hải Vân</t>
  </si>
  <si>
    <t>48 </t>
  </si>
  <si>
    <t>49 </t>
  </si>
  <si>
    <t>50 </t>
  </si>
  <si>
    <t>Trần Thị Dung</t>
  </si>
  <si>
    <t>QH-12-X-CH.BC(NV-HCM)</t>
  </si>
  <si>
    <t>51 </t>
  </si>
  <si>
    <t>Danh Ngọc Hiếu</t>
  </si>
  <si>
    <t>52 </t>
  </si>
  <si>
    <t>Nguyễn Khắc Huy</t>
  </si>
  <si>
    <t>53 </t>
  </si>
  <si>
    <t>Nguyễn Thị Minh Nguyệt</t>
  </si>
  <si>
    <t>54 </t>
  </si>
  <si>
    <t>Đỗ Thị Thu Trang</t>
  </si>
  <si>
    <t>55 </t>
  </si>
  <si>
    <t>Kiều Hồng Hạnh</t>
  </si>
  <si>
    <t>Đông phương học</t>
  </si>
  <si>
    <t>QH-12-X-CH.CAH</t>
  </si>
  <si>
    <t>56 </t>
  </si>
  <si>
    <t>Nguyễn Thị Thu Hiền</t>
  </si>
  <si>
    <t>57 </t>
  </si>
  <si>
    <t>Lê Thị Hương</t>
  </si>
  <si>
    <t>58 </t>
  </si>
  <si>
    <t>Trương Thị Diệu Hương</t>
  </si>
  <si>
    <t>59 </t>
  </si>
  <si>
    <t>Nguyễn Tuấn Khôi</t>
  </si>
  <si>
    <t>60 </t>
  </si>
  <si>
    <t>La Lượng (Luo Liang)</t>
  </si>
  <si>
    <t>61 </t>
  </si>
  <si>
    <t>Lê Thị Linh</t>
  </si>
  <si>
    <t>62 </t>
  </si>
  <si>
    <t>Thái Minh (Cai Ming)</t>
  </si>
  <si>
    <t>63 </t>
  </si>
  <si>
    <t>Nguyễn Bá Ngọc</t>
  </si>
  <si>
    <t>64 </t>
  </si>
  <si>
    <t>Nguyễn Hồng Nhật</t>
  </si>
  <si>
    <t>65 </t>
  </si>
  <si>
    <t>Nguyễn Thị Thu Quỳnh</t>
  </si>
  <si>
    <t>66 </t>
  </si>
  <si>
    <t>Đường Quốc Tùng (Tang Guo Song)</t>
  </si>
  <si>
    <t>67 </t>
  </si>
  <si>
    <t>Hoàng Thiên Thanh</t>
  </si>
  <si>
    <t>68 </t>
  </si>
  <si>
    <t>Nguyễn Lê Thy Thương</t>
  </si>
  <si>
    <t>69 </t>
  </si>
  <si>
    <t>Nguyễn Ngọc Quỳnh Trang</t>
  </si>
  <si>
    <t>70 </t>
  </si>
  <si>
    <t>Trần Thùy Trang</t>
  </si>
  <si>
    <t>71 </t>
  </si>
  <si>
    <t>Vũ Thị Thanh Tuyền</t>
  </si>
  <si>
    <t>72 </t>
  </si>
  <si>
    <t>Phạm Kim Tuyến</t>
  </si>
  <si>
    <t>73 </t>
  </si>
  <si>
    <t>Đỗ Thị Liên Vân</t>
  </si>
  <si>
    <t>74 </t>
  </si>
  <si>
    <t>Triết học</t>
  </si>
  <si>
    <t>QH-12-X-CH.CNXHKH</t>
  </si>
  <si>
    <t>75 </t>
  </si>
  <si>
    <t>Lưu Thị Hà</t>
  </si>
  <si>
    <t>76 </t>
  </si>
  <si>
    <t>Đinh Thị Mỹ Hạnh</t>
  </si>
  <si>
    <t>77 </t>
  </si>
  <si>
    <t>Nguyễn Hải Hậu</t>
  </si>
  <si>
    <t>78 </t>
  </si>
  <si>
    <t>Lâm Thị Thúy Hoa</t>
  </si>
  <si>
    <t>79 </t>
  </si>
  <si>
    <t>Dương Thị Huế</t>
  </si>
  <si>
    <t>80 </t>
  </si>
  <si>
    <t>81 </t>
  </si>
  <si>
    <t>Phạm Hồng Luyên</t>
  </si>
  <si>
    <t>82 </t>
  </si>
  <si>
    <t>Phương Thị Nhung</t>
  </si>
  <si>
    <t>83 </t>
  </si>
  <si>
    <t>Phạm Thị Kim Thi</t>
  </si>
  <si>
    <t>84 </t>
  </si>
  <si>
    <t>Bùi Thị Thu Trang</t>
  </si>
  <si>
    <t>85 </t>
  </si>
  <si>
    <t>Đào Thị Tươi</t>
  </si>
  <si>
    <t>86 </t>
  </si>
  <si>
    <t>Nguyễn Văn Bắc</t>
  </si>
  <si>
    <t>QH-12-X-CH.CTH</t>
  </si>
  <si>
    <t>87 </t>
  </si>
  <si>
    <t>Trần Thanh Bình</t>
  </si>
  <si>
    <t>88 </t>
  </si>
  <si>
    <t>Phạm Thế Dân</t>
  </si>
  <si>
    <t>89 </t>
  </si>
  <si>
    <t>Đỗ Tiến Dũng</t>
  </si>
  <si>
    <t>90 </t>
  </si>
  <si>
    <t>Nguyễn Thị Hiền</t>
  </si>
  <si>
    <t>91 </t>
  </si>
  <si>
    <t>Nguyễn Thị Kim Hoa</t>
  </si>
  <si>
    <t>92 </t>
  </si>
  <si>
    <t>Nguyễn Văn Hoàng</t>
  </si>
  <si>
    <t>93 </t>
  </si>
  <si>
    <t>Nguyễn Lưu Khánh</t>
  </si>
  <si>
    <t>94 </t>
  </si>
  <si>
    <t>Đinh Trung Kiên</t>
  </si>
  <si>
    <t>95 </t>
  </si>
  <si>
    <t>Trần Thị Diệu Linh</t>
  </si>
  <si>
    <t>96 </t>
  </si>
  <si>
    <t>Vũ Thị Mai</t>
  </si>
  <si>
    <t>97 </t>
  </si>
  <si>
    <t>Đoàn Thế Mạnh</t>
  </si>
  <si>
    <t>98 </t>
  </si>
  <si>
    <t>Nguyễn Thị Nga</t>
  </si>
  <si>
    <t>99 </t>
  </si>
  <si>
    <t>Trần Xuân Nguyên</t>
  </si>
  <si>
    <t>100 </t>
  </si>
  <si>
    <t>Cù Quốc Quang</t>
  </si>
  <si>
    <t>101 </t>
  </si>
  <si>
    <t>Bùi Thị Thu Thảo</t>
  </si>
  <si>
    <t>102 </t>
  </si>
  <si>
    <t>Nguyễn Văn Thắng</t>
  </si>
  <si>
    <t>103 </t>
  </si>
  <si>
    <t>Ngô Thị Phương Thoa</t>
  </si>
  <si>
    <t>104 </t>
  </si>
  <si>
    <t>105 </t>
  </si>
  <si>
    <t>Lê Cảnh Thuận</t>
  </si>
  <si>
    <t>106 </t>
  </si>
  <si>
    <t>Nguyễn Thị Trang</t>
  </si>
  <si>
    <t>107 </t>
  </si>
  <si>
    <t>Cù Văn Trung</t>
  </si>
  <si>
    <t>108 </t>
  </si>
  <si>
    <t>Trần Văn Trường</t>
  </si>
  <si>
    <t>109 </t>
  </si>
  <si>
    <t>Nguyễn Thị Cúc</t>
  </si>
  <si>
    <t>QH-12-X-CH.CTH(DHSG)</t>
  </si>
  <si>
    <t>110 </t>
  </si>
  <si>
    <t>Trần Thị Thanh Hòa</t>
  </si>
  <si>
    <t>111 </t>
  </si>
  <si>
    <t>Nguyễn Văn Kiên</t>
  </si>
  <si>
    <t>112 </t>
  </si>
  <si>
    <t>Lê Thanh Quân</t>
  </si>
  <si>
    <t>113 </t>
  </si>
  <si>
    <t>Phạm Văn Tám</t>
  </si>
  <si>
    <t>114 </t>
  </si>
  <si>
    <t>Vũ Đức Trình</t>
  </si>
  <si>
    <t>115 </t>
  </si>
  <si>
    <t>Nguyễn Xuân Trường</t>
  </si>
  <si>
    <t>116 </t>
  </si>
  <si>
    <t>Nguyễn Thọ Yên</t>
  </si>
  <si>
    <t>117 </t>
  </si>
  <si>
    <t>Nguyễn Văn An</t>
  </si>
  <si>
    <t>QH-12-X-CH.CTH(Hatinh)</t>
  </si>
  <si>
    <t>118 </t>
  </si>
  <si>
    <t>Hà Thị Việt Ánh</t>
  </si>
  <si>
    <t>119 </t>
  </si>
  <si>
    <t>Hoàng Văn Chương</t>
  </si>
  <si>
    <t>120 </t>
  </si>
  <si>
    <t>Trần Quốc Đạt</t>
  </si>
  <si>
    <t>121 </t>
  </si>
  <si>
    <t>Hồ Thị Hương Giang</t>
  </si>
  <si>
    <t>122 </t>
  </si>
  <si>
    <t>Nguyễn Thái Hà</t>
  </si>
  <si>
    <t>123 </t>
  </si>
  <si>
    <t>Nguyễn Thị Hài</t>
  </si>
  <si>
    <t>124 </t>
  </si>
  <si>
    <t>Nguyễn Công Hải</t>
  </si>
  <si>
    <t>125 </t>
  </si>
  <si>
    <t>Thái Thị Hiền</t>
  </si>
  <si>
    <t>126 </t>
  </si>
  <si>
    <t>Trần Thị Thanh Hiền</t>
  </si>
  <si>
    <t>127 </t>
  </si>
  <si>
    <t>Lê Thị Hoa</t>
  </si>
  <si>
    <t>128 </t>
  </si>
  <si>
    <t>129 </t>
  </si>
  <si>
    <t>Nguyễn Thế Hoàn</t>
  </si>
  <si>
    <t>130 </t>
  </si>
  <si>
    <t>Trần Thi Thúy Hường</t>
  </si>
  <si>
    <t>131 </t>
  </si>
  <si>
    <t>Nguyễn Thị Lam</t>
  </si>
  <si>
    <t>132 </t>
  </si>
  <si>
    <t>Nguyễn Thị Hương Lan</t>
  </si>
  <si>
    <t>133 </t>
  </si>
  <si>
    <t>Nguyễn Mỹ Lệ</t>
  </si>
  <si>
    <t>134 </t>
  </si>
  <si>
    <t>Lê Văn Luân</t>
  </si>
  <si>
    <t>135 </t>
  </si>
  <si>
    <t>Nguyễn Duy Ngân</t>
  </si>
  <si>
    <t>136 </t>
  </si>
  <si>
    <t>Hà Văn Oanh</t>
  </si>
  <si>
    <t>137 </t>
  </si>
  <si>
    <t>Nguyễn Thị Hồng Phượng</t>
  </si>
  <si>
    <t>138 </t>
  </si>
  <si>
    <t>Nguyễn Thị Hà Tân</t>
  </si>
  <si>
    <t>139 </t>
  </si>
  <si>
    <t>Nguyễn Đức Thạch</t>
  </si>
  <si>
    <t>140 </t>
  </si>
  <si>
    <t>Phạm Trung Thành</t>
  </si>
  <si>
    <t>141 </t>
  </si>
  <si>
    <t>Nguyễn Quyết Thắng</t>
  </si>
  <si>
    <t>142 </t>
  </si>
  <si>
    <t>Trần Thị Bích Thủy</t>
  </si>
  <si>
    <t>143 </t>
  </si>
  <si>
    <t>Trịnh Thị Thủy</t>
  </si>
  <si>
    <t>144 </t>
  </si>
  <si>
    <t>Nguyễn Cảnh Thụy</t>
  </si>
  <si>
    <t>145 </t>
  </si>
  <si>
    <t>Phan Văn Trung</t>
  </si>
  <si>
    <t>146 </t>
  </si>
  <si>
    <t>Lê Ngọc Việt</t>
  </si>
  <si>
    <t>147 </t>
  </si>
  <si>
    <t>Phan Hồng Yến</t>
  </si>
  <si>
    <t>148 </t>
  </si>
  <si>
    <t>Nguyễn Thị Hoài An</t>
  </si>
  <si>
    <t>Công tác xã hội</t>
  </si>
  <si>
    <t>QH-12-X-CH.CTXH</t>
  </si>
  <si>
    <t>149 </t>
  </si>
  <si>
    <t>Mai Thị Ngọc Anh</t>
  </si>
  <si>
    <t>150 </t>
  </si>
  <si>
    <t>Nguyễn Thị Lan Anh</t>
  </si>
  <si>
    <t>151 </t>
  </si>
  <si>
    <t>Nguyễn Thị Vân Anh</t>
  </si>
  <si>
    <t>152 </t>
  </si>
  <si>
    <t>153 </t>
  </si>
  <si>
    <t>Tạ Thị Ngọc Bích</t>
  </si>
  <si>
    <t>154 </t>
  </si>
  <si>
    <t>Nguyễn Thị Bình</t>
  </si>
  <si>
    <t>155 </t>
  </si>
  <si>
    <t>Điêu Thị Minh Chí</t>
  </si>
  <si>
    <t>156 </t>
  </si>
  <si>
    <t>Nguyễn Văn Chung</t>
  </si>
  <si>
    <t>157 </t>
  </si>
  <si>
    <t>Hà Thị Phương Dung</t>
  </si>
  <si>
    <t>158 </t>
  </si>
  <si>
    <t>Phùng Thị Thu Duyên</t>
  </si>
  <si>
    <t>159 </t>
  </si>
  <si>
    <t>Hồ Yến Dương</t>
  </si>
  <si>
    <t>160 </t>
  </si>
  <si>
    <t>Lê Văn Đáng</t>
  </si>
  <si>
    <t>161 </t>
  </si>
  <si>
    <t>Nguyễn Thị Đào</t>
  </si>
  <si>
    <t>162 </t>
  </si>
  <si>
    <t>Trương Thị Điểm</t>
  </si>
  <si>
    <t>163 </t>
  </si>
  <si>
    <t>Nguyễn Thị Điệp</t>
  </si>
  <si>
    <t>164 </t>
  </si>
  <si>
    <t>La Trần Vân Đoan</t>
  </si>
  <si>
    <t>165 </t>
  </si>
  <si>
    <t>Phạm Văn Đồng</t>
  </si>
  <si>
    <t>166 </t>
  </si>
  <si>
    <t>Đinh Thị Gấm</t>
  </si>
  <si>
    <t>167 </t>
  </si>
  <si>
    <t>Khổng Thị Hà</t>
  </si>
  <si>
    <t>168 </t>
  </si>
  <si>
    <t>169 </t>
  </si>
  <si>
    <t>Phạm Thị Hà</t>
  </si>
  <si>
    <t>170 </t>
  </si>
  <si>
    <t>Trần Thị Hà</t>
  </si>
  <si>
    <t>171 </t>
  </si>
  <si>
    <t>Vy Thị Hồng Hạnh</t>
  </si>
  <si>
    <t>172 </t>
  </si>
  <si>
    <t>Lê Thị Thu Hằng</t>
  </si>
  <si>
    <t>173 </t>
  </si>
  <si>
    <t>174 </t>
  </si>
  <si>
    <t>Mai Thị Hiệp</t>
  </si>
  <si>
    <t>175 </t>
  </si>
  <si>
    <t>Nguyễn Thị Thu Hiếu</t>
  </si>
  <si>
    <t>176 </t>
  </si>
  <si>
    <t>Nguyễn Minh Hoàng</t>
  </si>
  <si>
    <t>177 </t>
  </si>
  <si>
    <t>Văn Thị Huệ</t>
  </si>
  <si>
    <t>178 </t>
  </si>
  <si>
    <t>Lê Thị Thanh Huyền</t>
  </si>
  <si>
    <t>179 </t>
  </si>
  <si>
    <t>Trịnh Thị Thanh Huyền</t>
  </si>
  <si>
    <t>180 </t>
  </si>
  <si>
    <t>Ngô Thu Hương</t>
  </si>
  <si>
    <t>181 </t>
  </si>
  <si>
    <t>182 </t>
  </si>
  <si>
    <t>Tô Thị Hương</t>
  </si>
  <si>
    <t>183 </t>
  </si>
  <si>
    <t>184 </t>
  </si>
  <si>
    <t>185 </t>
  </si>
  <si>
    <t>Nguyễn Tuyết Lan</t>
  </si>
  <si>
    <t>186 </t>
  </si>
  <si>
    <t>Nguyễn Văn Lân</t>
  </si>
  <si>
    <t>187 </t>
  </si>
  <si>
    <t>Trần Thị Loan</t>
  </si>
  <si>
    <t>188 </t>
  </si>
  <si>
    <t>Bùi Văn Lợi</t>
  </si>
  <si>
    <t>189 </t>
  </si>
  <si>
    <t>Trần Văn Luận</t>
  </si>
  <si>
    <t>190 </t>
  </si>
  <si>
    <t>Hoàng Quý Ly</t>
  </si>
  <si>
    <t>191 </t>
  </si>
  <si>
    <t>Đinh Thị Mai</t>
  </si>
  <si>
    <t>192 </t>
  </si>
  <si>
    <t>Nguyễn Thị Mát</t>
  </si>
  <si>
    <t>193 </t>
  </si>
  <si>
    <t>Đỗ Thị Miền</t>
  </si>
  <si>
    <t>194 </t>
  </si>
  <si>
    <t>Nguyễn Văn Minh</t>
  </si>
  <si>
    <t>195 </t>
  </si>
  <si>
    <t>Vàng Văn Minh</t>
  </si>
  <si>
    <t>196 </t>
  </si>
  <si>
    <t>Đinh Thị Hằng Nga</t>
  </si>
  <si>
    <t>197 </t>
  </si>
  <si>
    <t>Phạm Thị Quỳnh Nga</t>
  </si>
  <si>
    <t>198 </t>
  </si>
  <si>
    <t>Lê Thị Thu Ngân</t>
  </si>
  <si>
    <t>199 </t>
  </si>
  <si>
    <t>Bùi Thị Bích Ngọc</t>
  </si>
  <si>
    <t>200 </t>
  </si>
  <si>
    <t>Lê Bích Ngọc</t>
  </si>
  <si>
    <t>201 </t>
  </si>
  <si>
    <t>Lê Hà Thu Nguyệt</t>
  </si>
  <si>
    <t>202 </t>
  </si>
  <si>
    <t>Nguyễn Thị Thu Nguyệt</t>
  </si>
  <si>
    <t>203 </t>
  </si>
  <si>
    <t>Khương Thị Hồng Nhung</t>
  </si>
  <si>
    <t>204 </t>
  </si>
  <si>
    <t>Nguyễn Thị Tuyết Nhung</t>
  </si>
  <si>
    <t>205 </t>
  </si>
  <si>
    <t>Sỹ Thị Tuyết Nhung</t>
  </si>
  <si>
    <t>206 </t>
  </si>
  <si>
    <t>Đặng Thị Huyền Oanh</t>
  </si>
  <si>
    <t>207 </t>
  </si>
  <si>
    <t>Tạ Thị Phúc</t>
  </si>
  <si>
    <t>208 </t>
  </si>
  <si>
    <t>Vũ Thị Phúc</t>
  </si>
  <si>
    <t>209 </t>
  </si>
  <si>
    <t>Lê Hồng Phương</t>
  </si>
  <si>
    <t>210 </t>
  </si>
  <si>
    <t>Trần Thị Mai Phương</t>
  </si>
  <si>
    <t>211 </t>
  </si>
  <si>
    <t>Vũ Minh Phương</t>
  </si>
  <si>
    <t>212 </t>
  </si>
  <si>
    <t>Đào Lệ Quyên</t>
  </si>
  <si>
    <t>213 </t>
  </si>
  <si>
    <t>Đào Thị Ngọc Quý</t>
  </si>
  <si>
    <t>214 </t>
  </si>
  <si>
    <t>Nguyễn Thị Quỳnh</t>
  </si>
  <si>
    <t>215 </t>
  </si>
  <si>
    <t>Nguyễn Hữu Tâm</t>
  </si>
  <si>
    <t>216 </t>
  </si>
  <si>
    <t>Phạm Thị Tâm</t>
  </si>
  <si>
    <t>217 </t>
  </si>
  <si>
    <t>Hồ Sỹ Thái</t>
  </si>
  <si>
    <t>218 </t>
  </si>
  <si>
    <t>Nguyễn Phương Thảo</t>
  </si>
  <si>
    <t>219 </t>
  </si>
  <si>
    <t>Nguyễn Thị Thảo</t>
  </si>
  <si>
    <t>220 </t>
  </si>
  <si>
    <t>Phùng Thanh Thảo</t>
  </si>
  <si>
    <t>221 </t>
  </si>
  <si>
    <t>Hà Thị Thắng</t>
  </si>
  <si>
    <t>222 </t>
  </si>
  <si>
    <t>Đặng Thị Minh Thoa</t>
  </si>
  <si>
    <t>223 </t>
  </si>
  <si>
    <t>Nguyễn Thị Minh Thu</t>
  </si>
  <si>
    <t>224 </t>
  </si>
  <si>
    <t>Phan Thị Thu</t>
  </si>
  <si>
    <t>225 </t>
  </si>
  <si>
    <t>Ma Thị Phương Thùy</t>
  </si>
  <si>
    <t>226 </t>
  </si>
  <si>
    <t>Nguyễn Thị Thủy</t>
  </si>
  <si>
    <t>227 </t>
  </si>
  <si>
    <t>Phùng Thị Hà Thúy</t>
  </si>
  <si>
    <t>228 </t>
  </si>
  <si>
    <t>Hoàng Thị Thương</t>
  </si>
  <si>
    <t>229 </t>
  </si>
  <si>
    <t>Nguyễn Thị Thương</t>
  </si>
  <si>
    <t>230 </t>
  </si>
  <si>
    <t>Lê Thị Mai Trang</t>
  </si>
  <si>
    <t>231 </t>
  </si>
  <si>
    <t>Nguyễn Dạ Đan Trang</t>
  </si>
  <si>
    <t>232 </t>
  </si>
  <si>
    <t>233 </t>
  </si>
  <si>
    <t>Nguyễn Thị Huyền Trang</t>
  </si>
  <si>
    <t>234 </t>
  </si>
  <si>
    <t>Phạm Thị Trang</t>
  </si>
  <si>
    <t>235 </t>
  </si>
  <si>
    <t>Hồ Nữ Thục Trinh</t>
  </si>
  <si>
    <t>236 </t>
  </si>
  <si>
    <t>Ngô Văn Trung</t>
  </si>
  <si>
    <t>237 </t>
  </si>
  <si>
    <t>238 </t>
  </si>
  <si>
    <t>Trần Thị Ánh Tuyết</t>
  </si>
  <si>
    <t>239 </t>
  </si>
  <si>
    <t>Tạ Hồng Vân</t>
  </si>
  <si>
    <t>240 </t>
  </si>
  <si>
    <t>Trần Thị Xuyến</t>
  </si>
  <si>
    <t>241 </t>
  </si>
  <si>
    <t>Hoàng Thị Ngọc Yến</t>
  </si>
  <si>
    <t>242 </t>
  </si>
  <si>
    <t>Nguyễn Thị Thúy Anh</t>
  </si>
  <si>
    <t>QH-12-X-CH.DL</t>
  </si>
  <si>
    <t>243 </t>
  </si>
  <si>
    <t>244 </t>
  </si>
  <si>
    <t>Trần Thị Bính</t>
  </si>
  <si>
    <t>245 </t>
  </si>
  <si>
    <t>Nguyễn Thị Thúy Điệp</t>
  </si>
  <si>
    <t>246 </t>
  </si>
  <si>
    <t>Ngô Thị Giang</t>
  </si>
  <si>
    <t>247 </t>
  </si>
  <si>
    <t>Phan Thị Hồng Giang</t>
  </si>
  <si>
    <t>248 </t>
  </si>
  <si>
    <t>Phùng Thị Hạnh</t>
  </si>
  <si>
    <t>249 </t>
  </si>
  <si>
    <t>Trần Thị Hồng Hạnh</t>
  </si>
  <si>
    <t>250 </t>
  </si>
  <si>
    <t>Bùi Thúy Hằng</t>
  </si>
  <si>
    <t>251 </t>
  </si>
  <si>
    <t>252 </t>
  </si>
  <si>
    <t>Trần Thị Hiên</t>
  </si>
  <si>
    <t>253 </t>
  </si>
  <si>
    <t>254 </t>
  </si>
  <si>
    <t>Đồng Thị Huệ</t>
  </si>
  <si>
    <t>255 </t>
  </si>
  <si>
    <t>Lưu Thị Minh Huệ</t>
  </si>
  <si>
    <t>256 </t>
  </si>
  <si>
    <t>Ngô Thị Huệ</t>
  </si>
  <si>
    <t>257 </t>
  </si>
  <si>
    <t>Nguyễn Thị Huệ</t>
  </si>
  <si>
    <t>258 </t>
  </si>
  <si>
    <t>Nguyễn Thị Thanh Hương</t>
  </si>
  <si>
    <t>259 </t>
  </si>
  <si>
    <t>Đoàn Thị Kim Hường</t>
  </si>
  <si>
    <t>260 </t>
  </si>
  <si>
    <t>Ngô Minh Khuê</t>
  </si>
  <si>
    <t>261 </t>
  </si>
  <si>
    <t>Lê Thị Luyến</t>
  </si>
  <si>
    <t>262 </t>
  </si>
  <si>
    <t>Nguyễn Thị Trà My</t>
  </si>
  <si>
    <t>263 </t>
  </si>
  <si>
    <t>Hoàng Thị Phương Nga</t>
  </si>
  <si>
    <t>264 </t>
  </si>
  <si>
    <t>Đỗ Thị Ngân</t>
  </si>
  <si>
    <t>265 </t>
  </si>
  <si>
    <t>Vũ Thanh Ngọc</t>
  </si>
  <si>
    <t>266 </t>
  </si>
  <si>
    <t>Phạm Minh Nguyệt</t>
  </si>
  <si>
    <t>267 </t>
  </si>
  <si>
    <t>Phạm Thị Hồng Nhung</t>
  </si>
  <si>
    <t>268 </t>
  </si>
  <si>
    <t>Vũ Thị Phương Nhung</t>
  </si>
  <si>
    <t>269 </t>
  </si>
  <si>
    <t>Phạm Duy Phong</t>
  </si>
  <si>
    <t>270 </t>
  </si>
  <si>
    <t>Võ Thị Bích Phương</t>
  </si>
  <si>
    <t>271 </t>
  </si>
  <si>
    <t>Nguyễn Thu Quỳnh</t>
  </si>
  <si>
    <t>272 </t>
  </si>
  <si>
    <t>Phonhnikone Sukhaseum</t>
  </si>
  <si>
    <t>273 </t>
  </si>
  <si>
    <t>Nguyễn Thị Thanh Thanh</t>
  </si>
  <si>
    <t>274 </t>
  </si>
  <si>
    <t>Hồ Thị Phương Thuý</t>
  </si>
  <si>
    <t>275 </t>
  </si>
  <si>
    <t>Đào Thị Hồng Thúy</t>
  </si>
  <si>
    <t>276 </t>
  </si>
  <si>
    <t>Ngọ Văn Tình</t>
  </si>
  <si>
    <t>277 </t>
  </si>
  <si>
    <t>Bùi Thị Tươi</t>
  </si>
  <si>
    <t>278 </t>
  </si>
  <si>
    <t>Phạm Xuân An</t>
  </si>
  <si>
    <t>QH-12-X-CH.DL(DHVH)</t>
  </si>
  <si>
    <t>279 </t>
  </si>
  <si>
    <t>Lại Cẩm Chiêu</t>
  </si>
  <si>
    <t>280 </t>
  </si>
  <si>
    <t>Dương Kim Chuyển</t>
  </si>
  <si>
    <t>281 </t>
  </si>
  <si>
    <t>Trần Công Danh</t>
  </si>
  <si>
    <t>282 </t>
  </si>
  <si>
    <t>Nguyễn Thị Ngọc Dung</t>
  </si>
  <si>
    <t>283 </t>
  </si>
  <si>
    <t>Nguyễn Thị Mỹ Duyên</t>
  </si>
  <si>
    <t>284 </t>
  </si>
  <si>
    <t>Hồ Thị Đào</t>
  </si>
  <si>
    <t>285 </t>
  </si>
  <si>
    <t>Phan Thị Khánh Đoan</t>
  </si>
  <si>
    <t>286 </t>
  </si>
  <si>
    <t>Đậu Minh Đức</t>
  </si>
  <si>
    <t>287 </t>
  </si>
  <si>
    <t>Nguyễn Thị Lan Hạnh</t>
  </si>
  <si>
    <t>288 </t>
  </si>
  <si>
    <t>Đỗ Ngọc Hảo</t>
  </si>
  <si>
    <t>289 </t>
  </si>
  <si>
    <t>Hồ Thị Ngọc Hiền</t>
  </si>
  <si>
    <t>290 </t>
  </si>
  <si>
    <t>Ngô Thị Hường</t>
  </si>
  <si>
    <t>291 </t>
  </si>
  <si>
    <t>Cao Mỹ Khanh</t>
  </si>
  <si>
    <t>292 </t>
  </si>
  <si>
    <t>Phùng Anh Kiên</t>
  </si>
  <si>
    <t>293 </t>
  </si>
  <si>
    <t>Trương Thị Thu Lành</t>
  </si>
  <si>
    <t>294 </t>
  </si>
  <si>
    <t>La Thị Mộng Linh</t>
  </si>
  <si>
    <t>295 </t>
  </si>
  <si>
    <t>Nguyễn Tấn Lực</t>
  </si>
  <si>
    <t>296 </t>
  </si>
  <si>
    <t>Đỗ Thu Nga</t>
  </si>
  <si>
    <t>297 </t>
  </si>
  <si>
    <t>Bùi Phan Quốc Nghĩa</t>
  </si>
  <si>
    <t>298 </t>
  </si>
  <si>
    <t>Phan Văn Ngoạn</t>
  </si>
  <si>
    <t>299 </t>
  </si>
  <si>
    <t>Từ Ánh Nguyệt</t>
  </si>
  <si>
    <t>300 </t>
  </si>
  <si>
    <t>Trương Thị Thanh Phi</t>
  </si>
  <si>
    <t>301 </t>
  </si>
  <si>
    <t>Nguyễn Nguyên Phong</t>
  </si>
  <si>
    <t>302 </t>
  </si>
  <si>
    <t>Nguyễn Thị Hoàng Phương</t>
  </si>
  <si>
    <t>303 </t>
  </si>
  <si>
    <t>Nguyễn Thị Huỳnh Phượng</t>
  </si>
  <si>
    <t>304 </t>
  </si>
  <si>
    <t>Phạm Đình Sửu</t>
  </si>
  <si>
    <t>305 </t>
  </si>
  <si>
    <t>Hồ Thị Thu</t>
  </si>
  <si>
    <t>306 </t>
  </si>
  <si>
    <t>Cao Thanh Thuận</t>
  </si>
  <si>
    <t>307 </t>
  </si>
  <si>
    <t>Thiều Thị Thúy</t>
  </si>
  <si>
    <t>308 </t>
  </si>
  <si>
    <t>Đoàn Thị Thu Thương</t>
  </si>
  <si>
    <t>309 </t>
  </si>
  <si>
    <t>Nguyễn Quốc Tiến</t>
  </si>
  <si>
    <t>310 </t>
  </si>
  <si>
    <t>Trần Phan Ngọc Tiến</t>
  </si>
  <si>
    <t>311 </t>
  </si>
  <si>
    <t>Võ Minh Tín</t>
  </si>
  <si>
    <t>312 </t>
  </si>
  <si>
    <t>Lê Minh Toàn</t>
  </si>
  <si>
    <t>313 </t>
  </si>
  <si>
    <t>Đoàn Nguyễn Khánh Trân</t>
  </si>
  <si>
    <t>314 </t>
  </si>
  <si>
    <t>Đặng Thị Thủy Triều</t>
  </si>
  <si>
    <t>315 </t>
  </si>
  <si>
    <t>Trần Ngọc Trinh</t>
  </si>
  <si>
    <t>316 </t>
  </si>
  <si>
    <t>Tán Thị Như Uyên</t>
  </si>
  <si>
    <t>317 </t>
  </si>
  <si>
    <t>Lê Thị Thanh Yến</t>
  </si>
  <si>
    <t>318 </t>
  </si>
  <si>
    <t>La Nhật Anh</t>
  </si>
  <si>
    <t>QH-12-X-CH.DL(Hue)</t>
  </si>
  <si>
    <t>319 </t>
  </si>
  <si>
    <t>Phan Vũ Diệu Bình</t>
  </si>
  <si>
    <t>320 </t>
  </si>
  <si>
    <t>Lê Thị Minh Hiếu</t>
  </si>
  <si>
    <t>321 </t>
  </si>
  <si>
    <t>Nguyễn Thị Hoa</t>
  </si>
  <si>
    <t>322 </t>
  </si>
  <si>
    <t>323 </t>
  </si>
  <si>
    <t>Nguyễn Văn Huy</t>
  </si>
  <si>
    <t>324 </t>
  </si>
  <si>
    <t>Nguyễn Thu Huyền</t>
  </si>
  <si>
    <t>325 </t>
  </si>
  <si>
    <t>Thái Thị Hồng Lam</t>
  </si>
  <si>
    <t>326 </t>
  </si>
  <si>
    <t>Nguyễn Thuỵ Khánh Ly</t>
  </si>
  <si>
    <t>327 </t>
  </si>
  <si>
    <t>Nguyễn Hoàng Nga My</t>
  </si>
  <si>
    <t>328 </t>
  </si>
  <si>
    <t>Vương Thị Mỹ</t>
  </si>
  <si>
    <t>329 </t>
  </si>
  <si>
    <t>Huỳnh Ngọc Phương</t>
  </si>
  <si>
    <t>330 </t>
  </si>
  <si>
    <t>Lê Trương Nhật Quang</t>
  </si>
  <si>
    <t>331 </t>
  </si>
  <si>
    <t>Đặng Hùng Sơn</t>
  </si>
  <si>
    <t>332 </t>
  </si>
  <si>
    <t>Nguyễn Thị Hoài Sơn</t>
  </si>
  <si>
    <t>333 </t>
  </si>
  <si>
    <t>Trương Phước Tài</t>
  </si>
  <si>
    <t>334 </t>
  </si>
  <si>
    <t>Phạm Thị Phương Thanh</t>
  </si>
  <si>
    <t>335 </t>
  </si>
  <si>
    <t>Tống Diệp Thanh</t>
  </si>
  <si>
    <t>336 </t>
  </si>
  <si>
    <t>Nguyễn Thị Phương Trinh</t>
  </si>
  <si>
    <t>337 </t>
  </si>
  <si>
    <t>Trương Thị Vân</t>
  </si>
  <si>
    <t>338 </t>
  </si>
  <si>
    <t>Bùi Minh Hào</t>
  </si>
  <si>
    <t>Lịch sử</t>
  </si>
  <si>
    <t>QH-12-X-CH.DTH</t>
  </si>
  <si>
    <t>339 </t>
  </si>
  <si>
    <t>Nguyễn Thị Thu Huyền</t>
  </si>
  <si>
    <t>340 </t>
  </si>
  <si>
    <t>Lương Anh Ngọc</t>
  </si>
  <si>
    <t>341 </t>
  </si>
  <si>
    <t>Phùng Văn Quỳnh</t>
  </si>
  <si>
    <t>342 </t>
  </si>
  <si>
    <t>Nguyễn Văn Tiến</t>
  </si>
  <si>
    <t>343 </t>
  </si>
  <si>
    <t>Phan Duy Anh</t>
  </si>
  <si>
    <t>QH-12-X-CH.HCM</t>
  </si>
  <si>
    <t>344 </t>
  </si>
  <si>
    <t>Hà Thị Thanh Hoa</t>
  </si>
  <si>
    <t>345 </t>
  </si>
  <si>
    <t>Trần Kim Hoàng</t>
  </si>
  <si>
    <t>346 </t>
  </si>
  <si>
    <t>Lê Thị Hòa</t>
  </si>
  <si>
    <t>347 </t>
  </si>
  <si>
    <t>348 </t>
  </si>
  <si>
    <t>Nguyễn Trọng Luyện</t>
  </si>
  <si>
    <t>349 </t>
  </si>
  <si>
    <t>Nguyễn Thị Mây</t>
  </si>
  <si>
    <t>350 </t>
  </si>
  <si>
    <t>Hà Đức Nam</t>
  </si>
  <si>
    <t>351 </t>
  </si>
  <si>
    <t>Lê Thị Vân Sơn</t>
  </si>
  <si>
    <t>352 </t>
  </si>
  <si>
    <t>Nguyễn Kim Tuấn</t>
  </si>
  <si>
    <t>353 </t>
  </si>
  <si>
    <t>Kiều Thị Yến</t>
  </si>
  <si>
    <t>354 </t>
  </si>
  <si>
    <t>Lê Thị Yến</t>
  </si>
  <si>
    <t>355 </t>
  </si>
  <si>
    <t>Nguyễn Thị Hải Yến</t>
  </si>
  <si>
    <t>356 </t>
  </si>
  <si>
    <t>Lê Thị Hảo</t>
  </si>
  <si>
    <t>QH-12-X-CH.HCM(DHSG)</t>
  </si>
  <si>
    <t>357 </t>
  </si>
  <si>
    <t>Vũ Thị Thu Hiền</t>
  </si>
  <si>
    <t>358 </t>
  </si>
  <si>
    <t>Lê Thị Hợp</t>
  </si>
  <si>
    <t>359 </t>
  </si>
  <si>
    <t>Lâm Thị Kho</t>
  </si>
  <si>
    <t>360 </t>
  </si>
  <si>
    <t>Nguyễn Thị Hoàng Oanh</t>
  </si>
  <si>
    <t>361 </t>
  </si>
  <si>
    <t>Lê Anh Thi</t>
  </si>
  <si>
    <t>362 </t>
  </si>
  <si>
    <t>Trần Thị Nữ</t>
  </si>
  <si>
    <t>QH-12-X-CH.HN</t>
  </si>
  <si>
    <t>363 </t>
  </si>
  <si>
    <t>364 </t>
  </si>
  <si>
    <t>Trương Văn Thắng</t>
  </si>
  <si>
    <t>365 </t>
  </si>
  <si>
    <t>366 </t>
  </si>
  <si>
    <t>Dương Thuỳ Trang</t>
  </si>
  <si>
    <t>367 </t>
  </si>
  <si>
    <t>Nguyễn Đức Bình</t>
  </si>
  <si>
    <t>QH-12-X-CH.KCH</t>
  </si>
  <si>
    <t>368 </t>
  </si>
  <si>
    <t>Nguyễn Thị Thanh Dịu</t>
  </si>
  <si>
    <t>369 </t>
  </si>
  <si>
    <t>Mai Thuỳ Linh</t>
  </si>
  <si>
    <t>370 </t>
  </si>
  <si>
    <t>Nguyễn Hữu Mạnh</t>
  </si>
  <si>
    <t>371 </t>
  </si>
  <si>
    <t>Nguyễn Thị Thuý</t>
  </si>
  <si>
    <t>372 </t>
  </si>
  <si>
    <t>Cao Thanh Châu</t>
  </si>
  <si>
    <t>Khoa học quản lý</t>
  </si>
  <si>
    <t>QH-12-X-CH.KHQL</t>
  </si>
  <si>
    <t>373 </t>
  </si>
  <si>
    <t>Nguyễn Thị Chín</t>
  </si>
  <si>
    <t>374 </t>
  </si>
  <si>
    <t>Dương Thị Thu Hà</t>
  </si>
  <si>
    <t>375 </t>
  </si>
  <si>
    <t>Ngô Thu Hà</t>
  </si>
  <si>
    <t>376 </t>
  </si>
  <si>
    <t>Nguyễn Thị Thúy Hà</t>
  </si>
  <si>
    <t>377 </t>
  </si>
  <si>
    <t>378 </t>
  </si>
  <si>
    <t>Lê Thị Hồng Hạnh</t>
  </si>
  <si>
    <t>379 </t>
  </si>
  <si>
    <t>Lê Thị Hạt</t>
  </si>
  <si>
    <t>380 </t>
  </si>
  <si>
    <t>Lăng Thị Hiền</t>
  </si>
  <si>
    <t>381 </t>
  </si>
  <si>
    <t>Nguyễn Thanh Hoa</t>
  </si>
  <si>
    <t>382 </t>
  </si>
  <si>
    <t>Trần Thị Hoài</t>
  </si>
  <si>
    <t>383 </t>
  </si>
  <si>
    <t>Đinh Thị Huế</t>
  </si>
  <si>
    <t>384 </t>
  </si>
  <si>
    <t>Trịnh Thị Ngọc Huệ</t>
  </si>
  <si>
    <t>385 </t>
  </si>
  <si>
    <t>Đặng Thị Thanh Huyền</t>
  </si>
  <si>
    <t>386 </t>
  </si>
  <si>
    <t>Nguyễn Thị Hạnh Huyền</t>
  </si>
  <si>
    <t>387 </t>
  </si>
  <si>
    <t>Vũ Thị Hương</t>
  </si>
  <si>
    <t>388 </t>
  </si>
  <si>
    <t>Phạm Thu Hường</t>
  </si>
  <si>
    <t>389 </t>
  </si>
  <si>
    <t>Đinh Thị Thuý Lan</t>
  </si>
  <si>
    <t>390 </t>
  </si>
  <si>
    <t>391 </t>
  </si>
  <si>
    <t>Vũ Thị Hồng Loan</t>
  </si>
  <si>
    <t>392 </t>
  </si>
  <si>
    <t>Đỗ Thị Nết</t>
  </si>
  <si>
    <t>393 </t>
  </si>
  <si>
    <t>Lê Thị Nga</t>
  </si>
  <si>
    <t>394 </t>
  </si>
  <si>
    <t>Nguyễn Tích Nghị</t>
  </si>
  <si>
    <t>395 </t>
  </si>
  <si>
    <t>Đặng Thị Nhung</t>
  </si>
  <si>
    <t>396 </t>
  </si>
  <si>
    <t>Nguyễn Thị Thu Phượng</t>
  </si>
  <si>
    <t>397 </t>
  </si>
  <si>
    <t>398 </t>
  </si>
  <si>
    <t>Lưu Thị Quỳnh Thơ</t>
  </si>
  <si>
    <t>399 </t>
  </si>
  <si>
    <t>400 </t>
  </si>
  <si>
    <t>Vũ Thị Thanh Thuý</t>
  </si>
  <si>
    <t>401 </t>
  </si>
  <si>
    <t>Lê Văn Trưởng</t>
  </si>
  <si>
    <t>402 </t>
  </si>
  <si>
    <t>Trịnh Văn Tuấn</t>
  </si>
  <si>
    <t>403 </t>
  </si>
  <si>
    <t>Nguyễn Thị Ngọc Tú</t>
  </si>
  <si>
    <t>404 </t>
  </si>
  <si>
    <t>Vũ Thị Ngọc Xoan</t>
  </si>
  <si>
    <t>405 </t>
  </si>
  <si>
    <t>Nguyễn Thị Yến</t>
  </si>
  <si>
    <t>406 </t>
  </si>
  <si>
    <t>Văn học</t>
  </si>
  <si>
    <t>QH-12-X-CH.LLVH</t>
  </si>
  <si>
    <t>407 </t>
  </si>
  <si>
    <t>408 </t>
  </si>
  <si>
    <t>409 </t>
  </si>
  <si>
    <t>410 </t>
  </si>
  <si>
    <t>411 </t>
  </si>
  <si>
    <t>412 </t>
  </si>
  <si>
    <t>413 </t>
  </si>
  <si>
    <t>414 </t>
  </si>
  <si>
    <t>415 </t>
  </si>
  <si>
    <t>416 </t>
  </si>
  <si>
    <t>Phạm Thị Hoàng Lan</t>
  </si>
  <si>
    <t>417 </t>
  </si>
  <si>
    <t>Lê Thị Kim Loan</t>
  </si>
  <si>
    <t>418 </t>
  </si>
  <si>
    <t>419 </t>
  </si>
  <si>
    <t>420 </t>
  </si>
  <si>
    <t>421 </t>
  </si>
  <si>
    <t>422 </t>
  </si>
  <si>
    <t>423 </t>
  </si>
  <si>
    <t>424 </t>
  </si>
  <si>
    <t>425 </t>
  </si>
  <si>
    <t>426 </t>
  </si>
  <si>
    <t>427 </t>
  </si>
  <si>
    <t>Ngô Thị Thu Trang</t>
  </si>
  <si>
    <t>428 </t>
  </si>
  <si>
    <t>429 </t>
  </si>
  <si>
    <t>430 </t>
  </si>
  <si>
    <t>431 </t>
  </si>
  <si>
    <t>Đinh Thị Tuyến</t>
  </si>
  <si>
    <t>432 </t>
  </si>
  <si>
    <t>Lại Thị Vân</t>
  </si>
  <si>
    <t>433 </t>
  </si>
  <si>
    <t>434 </t>
  </si>
  <si>
    <t>435 </t>
  </si>
  <si>
    <t>436 </t>
  </si>
  <si>
    <t>Trịnh Hoàng Anh</t>
  </si>
  <si>
    <t>QH-12-X-CH.LSDCSVN</t>
  </si>
  <si>
    <t>437 </t>
  </si>
  <si>
    <t>Vũ Thị Phương Anh</t>
  </si>
  <si>
    <t>438 </t>
  </si>
  <si>
    <t>Đào Phương Ánh</t>
  </si>
  <si>
    <t>439 </t>
  </si>
  <si>
    <t>Trần Thị Bích</t>
  </si>
  <si>
    <t>440 </t>
  </si>
  <si>
    <t>Lê Thị Thu Dung</t>
  </si>
  <si>
    <t>441 </t>
  </si>
  <si>
    <t>Dương Thị Thuỳ Dương</t>
  </si>
  <si>
    <t>442 </t>
  </si>
  <si>
    <t>Lương Thị Thuỳ Giang</t>
  </si>
  <si>
    <t>443 </t>
  </si>
  <si>
    <t>Đặng Thu Hà</t>
  </si>
  <si>
    <t>444 </t>
  </si>
  <si>
    <t>Gia Thị Hà</t>
  </si>
  <si>
    <t>445 </t>
  </si>
  <si>
    <t>446 </t>
  </si>
  <si>
    <t>Tô Thuý Hằng</t>
  </si>
  <si>
    <t>447 </t>
  </si>
  <si>
    <t>Trần Thị Thu Hằng</t>
  </si>
  <si>
    <t>448 </t>
  </si>
  <si>
    <t>Đỗ Thị Hiên</t>
  </si>
  <si>
    <t>449 </t>
  </si>
  <si>
    <t>450 </t>
  </si>
  <si>
    <t>451 </t>
  </si>
  <si>
    <t>Lưu Thị Hoa</t>
  </si>
  <si>
    <t>452 </t>
  </si>
  <si>
    <t>Bùi Xuân Hoá</t>
  </si>
  <si>
    <t>453 </t>
  </si>
  <si>
    <t>Lê Ánh Hồng</t>
  </si>
  <si>
    <t>454 </t>
  </si>
  <si>
    <t>Phùng Xuân Huy</t>
  </si>
  <si>
    <t>455 </t>
  </si>
  <si>
    <t>Nguyễn Thanh Huyền</t>
  </si>
  <si>
    <t>456 </t>
  </si>
  <si>
    <t>Nguyễn Thị Huyền</t>
  </si>
  <si>
    <t>457 </t>
  </si>
  <si>
    <t>458 </t>
  </si>
  <si>
    <t>Bùi Thị Hưng</t>
  </si>
  <si>
    <t>459 </t>
  </si>
  <si>
    <t>Lương Thuỵ Lan Hương</t>
  </si>
  <si>
    <t>460 </t>
  </si>
  <si>
    <t>461 </t>
  </si>
  <si>
    <t>Nguyễn Thị Lê</t>
  </si>
  <si>
    <t>462 </t>
  </si>
  <si>
    <t>Lưu Thị Mai Liên</t>
  </si>
  <si>
    <t>463 </t>
  </si>
  <si>
    <t>Mạch Thị Liên</t>
  </si>
  <si>
    <t>464 </t>
  </si>
  <si>
    <t>465 </t>
  </si>
  <si>
    <t>Nguyễn Thuỳ Linh</t>
  </si>
  <si>
    <t>466 </t>
  </si>
  <si>
    <t>Phan Thị Thanh Loan</t>
  </si>
  <si>
    <t>467 </t>
  </si>
  <si>
    <t>Vũ Văn Lương</t>
  </si>
  <si>
    <t>468 </t>
  </si>
  <si>
    <t>Hứa Thanh Mai</t>
  </si>
  <si>
    <t>469 </t>
  </si>
  <si>
    <t>Phùng Thị Mai</t>
  </si>
  <si>
    <t>470 </t>
  </si>
  <si>
    <t>471 </t>
  </si>
  <si>
    <t>Lê Minh Nam</t>
  </si>
  <si>
    <t>472 </t>
  </si>
  <si>
    <t>473 </t>
  </si>
  <si>
    <t>Nguyễn Thị Ngân</t>
  </si>
  <si>
    <t>474 </t>
  </si>
  <si>
    <t>Mai Thị Minh Nguyệt</t>
  </si>
  <si>
    <t>475 </t>
  </si>
  <si>
    <t>Lê Hồng Nhung</t>
  </si>
  <si>
    <t>476 </t>
  </si>
  <si>
    <t>Nguyễn Thị Nhương</t>
  </si>
  <si>
    <t>477 </t>
  </si>
  <si>
    <t>Khiếu Thị Oanh</t>
  </si>
  <si>
    <t>478 </t>
  </si>
  <si>
    <t>Nghiêm Thị Lan Oanh</t>
  </si>
  <si>
    <t>479 </t>
  </si>
  <si>
    <t>Nguyễn Thị Kim Phong</t>
  </si>
  <si>
    <t>480 </t>
  </si>
  <si>
    <t>Hà Thị Lê Phương</t>
  </si>
  <si>
    <t>481 </t>
  </si>
  <si>
    <t>482 </t>
  </si>
  <si>
    <t>Hoàng Thị Kim Phượng</t>
  </si>
  <si>
    <t>483 </t>
  </si>
  <si>
    <t>Nguyễn Thị Quyên</t>
  </si>
  <si>
    <t>484 </t>
  </si>
  <si>
    <t>Nguyễn Thị Tám</t>
  </si>
  <si>
    <t>485 </t>
  </si>
  <si>
    <t>Trần Xuân Tăng</t>
  </si>
  <si>
    <t>486 </t>
  </si>
  <si>
    <t>Nguyễn Xuân Thắng</t>
  </si>
  <si>
    <t>487 </t>
  </si>
  <si>
    <t>Phạm Thị Thiện</t>
  </si>
  <si>
    <t>488 </t>
  </si>
  <si>
    <t>Hoàng Thị Thu</t>
  </si>
  <si>
    <t>489 </t>
  </si>
  <si>
    <t>490 </t>
  </si>
  <si>
    <t>Ngô Thị Thanh Thuỷ</t>
  </si>
  <si>
    <t>491 </t>
  </si>
  <si>
    <t>Đoàn Thị Thuý</t>
  </si>
  <si>
    <t>492 </t>
  </si>
  <si>
    <t>Nông Thị Thư</t>
  </si>
  <si>
    <t>493 </t>
  </si>
  <si>
    <t>Nguyễn Thị Nha Trang</t>
  </si>
  <si>
    <t>494 </t>
  </si>
  <si>
    <t>Vũ Thị Trang</t>
  </si>
  <si>
    <t>495 </t>
  </si>
  <si>
    <t>496 </t>
  </si>
  <si>
    <t>Đoàn Văn Trường</t>
  </si>
  <si>
    <t>497 </t>
  </si>
  <si>
    <t>Đào Thị Hải Vân</t>
  </si>
  <si>
    <t>498 </t>
  </si>
  <si>
    <t>499 </t>
  </si>
  <si>
    <t>Phạm Thị Yến</t>
  </si>
  <si>
    <t>500 </t>
  </si>
  <si>
    <t>Phan Thị Hải Yến</t>
  </si>
  <si>
    <t>501 </t>
  </si>
  <si>
    <t>Trịnh Mạnh Cường</t>
  </si>
  <si>
    <t>QH-12-X-CH.LSTG</t>
  </si>
  <si>
    <t>502 </t>
  </si>
  <si>
    <t>Trần Thị Điểm</t>
  </si>
  <si>
    <t>503 </t>
  </si>
  <si>
    <t>Thiều Thị Thanh Hải</t>
  </si>
  <si>
    <t>504 </t>
  </si>
  <si>
    <t>Nguyễn Thị Lợi</t>
  </si>
  <si>
    <t>505 </t>
  </si>
  <si>
    <t>506 </t>
  </si>
  <si>
    <t>507 </t>
  </si>
  <si>
    <t>Lường Lâm Quỳnh</t>
  </si>
  <si>
    <t>508 </t>
  </si>
  <si>
    <t>Nguyễn Thị Phương Thảo</t>
  </si>
  <si>
    <t>509 </t>
  </si>
  <si>
    <t>Phạm Ngọc Trang</t>
  </si>
  <si>
    <t>510 </t>
  </si>
  <si>
    <t>Lương Thị Tú</t>
  </si>
  <si>
    <t>511 </t>
  </si>
  <si>
    <t>Phạm Thị Hoa</t>
  </si>
  <si>
    <t>QH-12-X-CH.LSVN</t>
  </si>
  <si>
    <t>512 </t>
  </si>
  <si>
    <t>Chu Quang Khánh</t>
  </si>
  <si>
    <t>513 </t>
  </si>
  <si>
    <t>Nguyễn Duy Dịu</t>
  </si>
  <si>
    <t>Lưu trữ và Quản trị văn phòng</t>
  </si>
  <si>
    <t>QH-12-X-CH.LT</t>
  </si>
  <si>
    <t>514 </t>
  </si>
  <si>
    <t>Đỗ Thị Đào</t>
  </si>
  <si>
    <t>515 </t>
  </si>
  <si>
    <t>Lê Hoài Giang</t>
  </si>
  <si>
    <t>516 </t>
  </si>
  <si>
    <t>Lưu Thị Hằng</t>
  </si>
  <si>
    <t>517 </t>
  </si>
  <si>
    <t>Phạm Thị Thu Hiền</t>
  </si>
  <si>
    <t>518 </t>
  </si>
  <si>
    <t>519 </t>
  </si>
  <si>
    <t>Lưu Thuý Hoà</t>
  </si>
  <si>
    <t>520 </t>
  </si>
  <si>
    <t>Chu Quý Hoàn</t>
  </si>
  <si>
    <t>521 </t>
  </si>
  <si>
    <t>Nguyễn Thị Hương</t>
  </si>
  <si>
    <t>522 </t>
  </si>
  <si>
    <t>Nguyễn Quỳnh Lan</t>
  </si>
  <si>
    <t>523 </t>
  </si>
  <si>
    <t>Nguyễn Thị Thu Lan</t>
  </si>
  <si>
    <t>524 </t>
  </si>
  <si>
    <t>Đặng Thị Bích Luận</t>
  </si>
  <si>
    <t>525 </t>
  </si>
  <si>
    <t>Lã Thị Mai</t>
  </si>
  <si>
    <t>526 </t>
  </si>
  <si>
    <t>Nguyễn Hà Như</t>
  </si>
  <si>
    <t>527 </t>
  </si>
  <si>
    <t>Nguyễn Văn Quang</t>
  </si>
  <si>
    <t>528 </t>
  </si>
  <si>
    <t>Dương Thị Quế</t>
  </si>
  <si>
    <t>529 </t>
  </si>
  <si>
    <t>Nguyễn Vinh Sáu</t>
  </si>
  <si>
    <t>530 </t>
  </si>
  <si>
    <t>Nguyễn Thị Lệ Thuỷ</t>
  </si>
  <si>
    <t>531 </t>
  </si>
  <si>
    <t>Dương Thành Trung</t>
  </si>
  <si>
    <t>532 </t>
  </si>
  <si>
    <t>533 </t>
  </si>
  <si>
    <t>QH-12-X-CH.NNH</t>
  </si>
  <si>
    <t>534 </t>
  </si>
  <si>
    <t>Thạch Thi Từ (Shi Shi Ci)</t>
  </si>
  <si>
    <t>535 </t>
  </si>
  <si>
    <t>536 </t>
  </si>
  <si>
    <t>Lâm Tuyền Quân (Lin Quan Jun)</t>
  </si>
  <si>
    <t>537 </t>
  </si>
  <si>
    <t>Bùi Thu Loan</t>
  </si>
  <si>
    <t>538 </t>
  </si>
  <si>
    <t>539 </t>
  </si>
  <si>
    <t>Vũ Hoàng Phương Loan</t>
  </si>
  <si>
    <t>540 </t>
  </si>
  <si>
    <t>Lý Bảo Mỵ (Li Bao Mei)</t>
  </si>
  <si>
    <t>541 </t>
  </si>
  <si>
    <t>Hoàng Nghệ Minh (Huang Yi Ming)</t>
  </si>
  <si>
    <t>542 </t>
  </si>
  <si>
    <t>543 </t>
  </si>
  <si>
    <t>544 </t>
  </si>
  <si>
    <t>Phatcharaphong Phubetpeerawat</t>
  </si>
  <si>
    <t>545 </t>
  </si>
  <si>
    <t>Lý Sương (Li Shuang)</t>
  </si>
  <si>
    <t>546 </t>
  </si>
  <si>
    <t>Phan Thanh Sơn</t>
  </si>
  <si>
    <t>547 </t>
  </si>
  <si>
    <t>Hoàng Văn Đào (Huang Wen Tao)</t>
  </si>
  <si>
    <t>548 </t>
  </si>
  <si>
    <t>549 </t>
  </si>
  <si>
    <t>550 </t>
  </si>
  <si>
    <t>551 </t>
  </si>
  <si>
    <t>Trần Thanh Tùng</t>
  </si>
  <si>
    <t>552 </t>
  </si>
  <si>
    <t>Son Sun Yeong</t>
  </si>
  <si>
    <t>553 </t>
  </si>
  <si>
    <t>Phan Trinh Vũ (Phan Zheng Yu)</t>
  </si>
  <si>
    <t>554 </t>
  </si>
  <si>
    <t>Quốc tế học</t>
  </si>
  <si>
    <t>QH-12-X-CH.QHQT</t>
  </si>
  <si>
    <t>555 </t>
  </si>
  <si>
    <t>556 </t>
  </si>
  <si>
    <t>557 </t>
  </si>
  <si>
    <t>558 </t>
  </si>
  <si>
    <t>Nguyễn Cảnh Dương</t>
  </si>
  <si>
    <t>559 </t>
  </si>
  <si>
    <t>560 </t>
  </si>
  <si>
    <t>561 </t>
  </si>
  <si>
    <t>562 </t>
  </si>
  <si>
    <t>563 </t>
  </si>
  <si>
    <t>Nguyễn Đỗ Minh Hằng</t>
  </si>
  <si>
    <t>564 </t>
  </si>
  <si>
    <t>565 </t>
  </si>
  <si>
    <t>Hoàng Thị Thu Hiền</t>
  </si>
  <si>
    <t>566 </t>
  </si>
  <si>
    <t>Trịnh Thị Thu Hoà</t>
  </si>
  <si>
    <t>567 </t>
  </si>
  <si>
    <t>Nguyễn Viết Hoàng</t>
  </si>
  <si>
    <t>568 </t>
  </si>
  <si>
    <t>569 </t>
  </si>
  <si>
    <t>Doãn Thành Kiên</t>
  </si>
  <si>
    <t>570 </t>
  </si>
  <si>
    <t>Nguyễn Thị Loan</t>
  </si>
  <si>
    <t>571 </t>
  </si>
  <si>
    <t>Vũ Thị Phương Loan</t>
  </si>
  <si>
    <t>572 </t>
  </si>
  <si>
    <t>Trần Văn Lợi</t>
  </si>
  <si>
    <t>573 </t>
  </si>
  <si>
    <t>Hoàng Hà Mạnh (Huang He Meng)</t>
  </si>
  <si>
    <t>574 </t>
  </si>
  <si>
    <t>575 </t>
  </si>
  <si>
    <t>576 </t>
  </si>
  <si>
    <t>577 </t>
  </si>
  <si>
    <t>578 </t>
  </si>
  <si>
    <t>579 </t>
  </si>
  <si>
    <t>580 </t>
  </si>
  <si>
    <t>Chu Hồng Thắng</t>
  </si>
  <si>
    <t>581 </t>
  </si>
  <si>
    <t>582 </t>
  </si>
  <si>
    <t>Nguyễn Thị Thanh Thuận</t>
  </si>
  <si>
    <t>583 </t>
  </si>
  <si>
    <t>Đặng Thu Thuỷ</t>
  </si>
  <si>
    <t>584 </t>
  </si>
  <si>
    <t>585 </t>
  </si>
  <si>
    <t>586 </t>
  </si>
  <si>
    <t>Dương Thị Ngọc Vân</t>
  </si>
  <si>
    <t>587 </t>
  </si>
  <si>
    <t>588 </t>
  </si>
  <si>
    <t>589 </t>
  </si>
  <si>
    <t>590 </t>
  </si>
  <si>
    <t>Trần Thị Hải Yến</t>
  </si>
  <si>
    <t>591 </t>
  </si>
  <si>
    <t>Nguyễn Thị Thuỳ Dung</t>
  </si>
  <si>
    <t>QH-12-X-CH.QHQT (NV-HCM)</t>
  </si>
  <si>
    <t>592 </t>
  </si>
  <si>
    <t>Phạm Kim Điền</t>
  </si>
  <si>
    <t>593 </t>
  </si>
  <si>
    <t>Nguyễn Thị Thanh Hoa</t>
  </si>
  <si>
    <t>594 </t>
  </si>
  <si>
    <t>Nguyễn Mạnh Hùng</t>
  </si>
  <si>
    <t>595 </t>
  </si>
  <si>
    <t>Trần Thị Lan Hương</t>
  </si>
  <si>
    <t>596 </t>
  </si>
  <si>
    <t>Trần Hùng Minh Phương</t>
  </si>
  <si>
    <t>597 </t>
  </si>
  <si>
    <t>Nguyễn Thị Phương Thanh</t>
  </si>
  <si>
    <t>598 </t>
  </si>
  <si>
    <t>Nguyễn Thái Giao Thuỷ</t>
  </si>
  <si>
    <t>599 </t>
  </si>
  <si>
    <t>Lương Bá Trí</t>
  </si>
  <si>
    <t>600 </t>
  </si>
  <si>
    <t>Trần Phi Tuấn</t>
  </si>
  <si>
    <t>601 </t>
  </si>
  <si>
    <t>Phan Thị Bạch Tuyết</t>
  </si>
  <si>
    <t>602 </t>
  </si>
  <si>
    <t>Nguyễn Trường Tứ</t>
  </si>
  <si>
    <t>603 </t>
  </si>
  <si>
    <t>Phạm Thị Yên</t>
  </si>
  <si>
    <t>604 </t>
  </si>
  <si>
    <t>Nguyễn Thị Ngọc Anh</t>
  </si>
  <si>
    <t>Quản lý Khoa học và Công nghệ</t>
  </si>
  <si>
    <t>QH-12-X-CH.QLKHCN</t>
  </si>
  <si>
    <t>605 </t>
  </si>
  <si>
    <t>Phạm Quang Anh</t>
  </si>
  <si>
    <t>606 </t>
  </si>
  <si>
    <t>Nguyễn Ngọc Bảo</t>
  </si>
  <si>
    <t>607 </t>
  </si>
  <si>
    <t>Huỳnh Thị Dung</t>
  </si>
  <si>
    <t>608 </t>
  </si>
  <si>
    <t>Phạm Thị Phương Dung</t>
  </si>
  <si>
    <t>609 </t>
  </si>
  <si>
    <t>Lại Quốc Đạt</t>
  </si>
  <si>
    <t>610 </t>
  </si>
  <si>
    <t>Kim Thị Diệp Hà</t>
  </si>
  <si>
    <t>611 </t>
  </si>
  <si>
    <t>Nguyễn Thị Thu Hà</t>
  </si>
  <si>
    <t>612 </t>
  </si>
  <si>
    <t>Nhữ Thị Hạnh</t>
  </si>
  <si>
    <t>613 </t>
  </si>
  <si>
    <t>Triệu Thị Bảo Hoa</t>
  </si>
  <si>
    <t>614 </t>
  </si>
  <si>
    <t>Nguyễn Thu Hợp</t>
  </si>
  <si>
    <t>615 </t>
  </si>
  <si>
    <t>Nguyễn Đức Long</t>
  </si>
  <si>
    <t>616 </t>
  </si>
  <si>
    <t>Phan Thị Mận</t>
  </si>
  <si>
    <t>617 </t>
  </si>
  <si>
    <t>Phạm Nguyệt Minh</t>
  </si>
  <si>
    <t>618 </t>
  </si>
  <si>
    <t>Đỗ Thị Thanh Nga</t>
  </si>
  <si>
    <t>619 </t>
  </si>
  <si>
    <t>Ngô Thị Phương Quý</t>
  </si>
  <si>
    <t>620 </t>
  </si>
  <si>
    <t>Lê Văn Sâm</t>
  </si>
  <si>
    <t>621 </t>
  </si>
  <si>
    <t>Đỗ Thị Lâm Thanh</t>
  </si>
  <si>
    <t>622 </t>
  </si>
  <si>
    <t>Nguyễn Văn Thành</t>
  </si>
  <si>
    <t>623 </t>
  </si>
  <si>
    <t>Thiều Thị Thu Thảo</t>
  </si>
  <si>
    <t>624 </t>
  </si>
  <si>
    <t>Phạm Mạnh Thắng</t>
  </si>
  <si>
    <t>625 </t>
  </si>
  <si>
    <t>Nguyễn Thị Quỳnh Trang</t>
  </si>
  <si>
    <t>626 </t>
  </si>
  <si>
    <t>Hoàng Thị Vân</t>
  </si>
  <si>
    <t>627 </t>
  </si>
  <si>
    <t>628 </t>
  </si>
  <si>
    <t>Lê Tuấn Anh</t>
  </si>
  <si>
    <t>QH-12-X-CH.QLKHCN (NV-HCM)</t>
  </si>
  <si>
    <t>629 </t>
  </si>
  <si>
    <t>Lê Việt Bình</t>
  </si>
  <si>
    <t>630 </t>
  </si>
  <si>
    <t>Phan Khắc Hải</t>
  </si>
  <si>
    <t>631 </t>
  </si>
  <si>
    <t>Đỗ Phạm Nhân Hoà</t>
  </si>
  <si>
    <t>632 </t>
  </si>
  <si>
    <t>Nguyễn Xuân Huy</t>
  </si>
  <si>
    <t>633 </t>
  </si>
  <si>
    <t>Đặng Tuấn Khanh</t>
  </si>
  <si>
    <t>634 </t>
  </si>
  <si>
    <t>Võ Quang Lãm</t>
  </si>
  <si>
    <t>635 </t>
  </si>
  <si>
    <t>Võ Thị Ngọc Lắm</t>
  </si>
  <si>
    <t>636 </t>
  </si>
  <si>
    <t>Nguyễn Thị Hồng Liên</t>
  </si>
  <si>
    <t>637 </t>
  </si>
  <si>
    <t>Nguyễn Thị Phương Mai</t>
  </si>
  <si>
    <t>638 </t>
  </si>
  <si>
    <t>639 </t>
  </si>
  <si>
    <t>Hoàng Nam</t>
  </si>
  <si>
    <t>640 </t>
  </si>
  <si>
    <t>Trần Hoàng Nguyên</t>
  </si>
  <si>
    <t>641 </t>
  </si>
  <si>
    <t>Hồ Thế Nam Phương</t>
  </si>
  <si>
    <t>642 </t>
  </si>
  <si>
    <t>Mai Văn Sủng</t>
  </si>
  <si>
    <t>643 </t>
  </si>
  <si>
    <t>Đoàn Lâm Thanh Tâm</t>
  </si>
  <si>
    <t>644 </t>
  </si>
  <si>
    <t>Lê Ngọc Thạch</t>
  </si>
  <si>
    <t>645 </t>
  </si>
  <si>
    <t>Phan Phạm Thạch Thảo</t>
  </si>
  <si>
    <t>646 </t>
  </si>
  <si>
    <t>Nguyễn Diệu Nguyệt Thu</t>
  </si>
  <si>
    <t>647 </t>
  </si>
  <si>
    <t>Trần Văn Tiến</t>
  </si>
  <si>
    <t>648 </t>
  </si>
  <si>
    <t>Lê Bảo Trung</t>
  </si>
  <si>
    <t>649 </t>
  </si>
  <si>
    <t>Phan Thành Trung</t>
  </si>
  <si>
    <t>650 </t>
  </si>
  <si>
    <t>Phan Anh Tú</t>
  </si>
  <si>
    <t>651 </t>
  </si>
  <si>
    <t>Nguyễn Tấn Tùng</t>
  </si>
  <si>
    <t>652 </t>
  </si>
  <si>
    <t>Phạm Thị Cẩm Vân</t>
  </si>
  <si>
    <t>653 </t>
  </si>
  <si>
    <t>Bùi Hồng Xa</t>
  </si>
  <si>
    <t>654 </t>
  </si>
  <si>
    <t>Hoàng Thị Lan Anh</t>
  </si>
  <si>
    <t>QH-12-X-CH.TG</t>
  </si>
  <si>
    <t>655 </t>
  </si>
  <si>
    <t>Đào Thị Kim Cúc</t>
  </si>
  <si>
    <t>656 </t>
  </si>
  <si>
    <t>657 </t>
  </si>
  <si>
    <t>Ngô Hữu Giang Hoàn</t>
  </si>
  <si>
    <t>658 </t>
  </si>
  <si>
    <t>659 </t>
  </si>
  <si>
    <t>Hoàng Thị Quyên</t>
  </si>
  <si>
    <t>660 </t>
  </si>
  <si>
    <t>Nguyễn Văn Quý</t>
  </si>
  <si>
    <t>661 </t>
  </si>
  <si>
    <t>Vũ Tuyết Thanh</t>
  </si>
  <si>
    <t>662 </t>
  </si>
  <si>
    <t>Đinh Văn Thắng</t>
  </si>
  <si>
    <t>663 </t>
  </si>
  <si>
    <t>Bùi Thị Thơm</t>
  </si>
  <si>
    <t>664 </t>
  </si>
  <si>
    <t>Lê Văn Tuyên</t>
  </si>
  <si>
    <t>665 </t>
  </si>
  <si>
    <t>Vũ Thanh Tùng</t>
  </si>
  <si>
    <t>666 </t>
  </si>
  <si>
    <t>Chu Thị Yểng</t>
  </si>
  <si>
    <t>667 </t>
  </si>
  <si>
    <t>Nguyễn Thị Kim Anh</t>
  </si>
  <si>
    <t>QH-12-X-CH.TLH</t>
  </si>
  <si>
    <t>668 </t>
  </si>
  <si>
    <t>Nguyễn Tuấn Anh</t>
  </si>
  <si>
    <t>669 </t>
  </si>
  <si>
    <t>Trần Thị Lan Anh</t>
  </si>
  <si>
    <t>670 </t>
  </si>
  <si>
    <t>671 </t>
  </si>
  <si>
    <t>672 </t>
  </si>
  <si>
    <t>673 </t>
  </si>
  <si>
    <t>674 </t>
  </si>
  <si>
    <t>675 </t>
  </si>
  <si>
    <t>Lê Thị Loan</t>
  </si>
  <si>
    <t>676 </t>
  </si>
  <si>
    <t>677 </t>
  </si>
  <si>
    <t>Đô Thị Bích Ngọc</t>
  </si>
  <si>
    <t>678 </t>
  </si>
  <si>
    <t>Nguyễn Đức Quỳnh</t>
  </si>
  <si>
    <t>679 </t>
  </si>
  <si>
    <t>680 </t>
  </si>
  <si>
    <t>681 </t>
  </si>
  <si>
    <t>Trần Thị Thương</t>
  </si>
  <si>
    <t>682 </t>
  </si>
  <si>
    <t>Nguyễn Văn Tòng</t>
  </si>
  <si>
    <t>683 </t>
  </si>
  <si>
    <t>Hoàng Văn Tùng</t>
  </si>
  <si>
    <t>684 </t>
  </si>
  <si>
    <t>Vũ Thị Tố Uyên</t>
  </si>
  <si>
    <t>685 </t>
  </si>
  <si>
    <t>Nguyễn Thị Thúy Vân</t>
  </si>
  <si>
    <t>686 </t>
  </si>
  <si>
    <t>Hoàng Thúy Vi</t>
  </si>
  <si>
    <t>687 </t>
  </si>
  <si>
    <t>Phạm Thị Xoan</t>
  </si>
  <si>
    <t>688 </t>
  </si>
  <si>
    <t>Hoàng Thị Thuý An</t>
  </si>
  <si>
    <t>QH-12-X-CH.TR</t>
  </si>
  <si>
    <t>689 </t>
  </si>
  <si>
    <t>Trần Thị Minh Châm</t>
  </si>
  <si>
    <t>690 </t>
  </si>
  <si>
    <t>691 </t>
  </si>
  <si>
    <t>Vũ Thị Hồng Dung</t>
  </si>
  <si>
    <t>692 </t>
  </si>
  <si>
    <t>Trịnh Quang Dũng</t>
  </si>
  <si>
    <t>693 </t>
  </si>
  <si>
    <t>Nguyễn Thị Phương Hà</t>
  </si>
  <si>
    <t>694 </t>
  </si>
  <si>
    <t>695 </t>
  </si>
  <si>
    <t>Trương Thị Kim Hà</t>
  </si>
  <si>
    <t>696 </t>
  </si>
  <si>
    <t>Nguyễn Hồng Hải</t>
  </si>
  <si>
    <t>697 </t>
  </si>
  <si>
    <t>698 </t>
  </si>
  <si>
    <t>Tạ Thị Hoa</t>
  </si>
  <si>
    <t>699 </t>
  </si>
  <si>
    <t>Nguyễn Văn Học</t>
  </si>
  <si>
    <t>700 </t>
  </si>
  <si>
    <t>701 </t>
  </si>
  <si>
    <t>Nguyễn Thị Luân</t>
  </si>
  <si>
    <t>702 </t>
  </si>
  <si>
    <t>Nguyễn Thị Mai</t>
  </si>
  <si>
    <t>703 </t>
  </si>
  <si>
    <t>Nguyễn Ánh Hồng Minh</t>
  </si>
  <si>
    <t>704 </t>
  </si>
  <si>
    <t>705 </t>
  </si>
  <si>
    <t>706 </t>
  </si>
  <si>
    <t>Nguyễn Thị Nguyệt</t>
  </si>
  <si>
    <t>707 </t>
  </si>
  <si>
    <t>Ma Thị Nhiệm</t>
  </si>
  <si>
    <t>708 </t>
  </si>
  <si>
    <t>Nguyễn Cẩm Nhung</t>
  </si>
  <si>
    <t>709 </t>
  </si>
  <si>
    <t>Vũ Thị Ngọc Phan</t>
  </si>
  <si>
    <t>710 </t>
  </si>
  <si>
    <t>Vương Thị Phương</t>
  </si>
  <si>
    <t>711 </t>
  </si>
  <si>
    <t>Trần Thị Phượng</t>
  </si>
  <si>
    <t>712 </t>
  </si>
  <si>
    <t>Hoàng Minh Quân</t>
  </si>
  <si>
    <t>713 </t>
  </si>
  <si>
    <t>Đỗ Trọng Quý</t>
  </si>
  <si>
    <t>714 </t>
  </si>
  <si>
    <t>Trần Huy Tạo</t>
  </si>
  <si>
    <t>715 </t>
  </si>
  <si>
    <t>Vũ Thị Thảo</t>
  </si>
  <si>
    <t>716 </t>
  </si>
  <si>
    <t>Lê Thị Thuỳ</t>
  </si>
  <si>
    <t>717 </t>
  </si>
  <si>
    <t>Nguyễn Thị Bích Thuỷ</t>
  </si>
  <si>
    <t>718 </t>
  </si>
  <si>
    <t>Phan Thị Mai Thuý</t>
  </si>
  <si>
    <t>719 </t>
  </si>
  <si>
    <t>Mai Văn Thương</t>
  </si>
  <si>
    <t>720 </t>
  </si>
  <si>
    <t>Vương Văn Tín</t>
  </si>
  <si>
    <t>721 </t>
  </si>
  <si>
    <t>Trần Thị Toán</t>
  </si>
  <si>
    <t>722 </t>
  </si>
  <si>
    <t>Nguyễn Huyền Trang</t>
  </si>
  <si>
    <t>723 </t>
  </si>
  <si>
    <t>Hoàng Mạnh Trinh</t>
  </si>
  <si>
    <t>724 </t>
  </si>
  <si>
    <t>Nguyễn Văn Trọng</t>
  </si>
  <si>
    <t>725 </t>
  </si>
  <si>
    <t>Đặng Quang Việt</t>
  </si>
  <si>
    <t>726 </t>
  </si>
  <si>
    <t>Phạm Thị Xen</t>
  </si>
  <si>
    <t>727 </t>
  </si>
  <si>
    <t>728 </t>
  </si>
  <si>
    <t>Võ Thị Hải Châu</t>
  </si>
  <si>
    <t>Thông tin - Thư viện</t>
  </si>
  <si>
    <t>QH-12-X-CH.TTTV</t>
  </si>
  <si>
    <t>729 </t>
  </si>
  <si>
    <t>Thân Văn Diễn</t>
  </si>
  <si>
    <t>730 </t>
  </si>
  <si>
    <t>731 </t>
  </si>
  <si>
    <t>Phan Thị Dung</t>
  </si>
  <si>
    <t>732 </t>
  </si>
  <si>
    <t>Lê Thị Dương</t>
  </si>
  <si>
    <t>733 </t>
  </si>
  <si>
    <t>Đỗ Thị Thu Hà</t>
  </si>
  <si>
    <t>734 </t>
  </si>
  <si>
    <t>735 </t>
  </si>
  <si>
    <t>Bùi Thị Thuý Hằng</t>
  </si>
  <si>
    <t>736 </t>
  </si>
  <si>
    <t>737 </t>
  </si>
  <si>
    <t>Đào Thị Linh</t>
  </si>
  <si>
    <t>738 </t>
  </si>
  <si>
    <t>Nông Đường Tố Loan</t>
  </si>
  <si>
    <t>739 </t>
  </si>
  <si>
    <t>Trần Thị Mai Lương</t>
  </si>
  <si>
    <t>740 </t>
  </si>
  <si>
    <t>Ngô Thị Nguyệt Minh</t>
  </si>
  <si>
    <t>741 </t>
  </si>
  <si>
    <t>Nguyễn Thị Kim Ngân</t>
  </si>
  <si>
    <t>742 </t>
  </si>
  <si>
    <t>Nguyễn Minh Nguyệt</t>
  </si>
  <si>
    <t>743 </t>
  </si>
  <si>
    <t>Phạm Thị Vân Nhâm</t>
  </si>
  <si>
    <t>744 </t>
  </si>
  <si>
    <t>Nguyễn Thị Yến Như</t>
  </si>
  <si>
    <t>745 </t>
  </si>
  <si>
    <t>Phayvanh Oudomnakhonsy</t>
  </si>
  <si>
    <t>746 </t>
  </si>
  <si>
    <t>Lê Tùng Sơn</t>
  </si>
  <si>
    <t>747 </t>
  </si>
  <si>
    <t>Trần Thị Thanh Tâm</t>
  </si>
  <si>
    <t>748 </t>
  </si>
  <si>
    <t>Luyện Thị Trang</t>
  </si>
  <si>
    <t>749 </t>
  </si>
  <si>
    <t>Bùi Thị Ánh Tuyết</t>
  </si>
  <si>
    <t>750 </t>
  </si>
  <si>
    <t>Lê Thị Ánh Tuyết</t>
  </si>
  <si>
    <t>751 </t>
  </si>
  <si>
    <t>Phạm Thị Thanh Bình</t>
  </si>
  <si>
    <t>QH-12-X-CH.TTTV(DHSG)</t>
  </si>
  <si>
    <t>752 </t>
  </si>
  <si>
    <t>Nguyễn Trần Minh Châu</t>
  </si>
  <si>
    <t>753 </t>
  </si>
  <si>
    <t>Đặng Thị Hà</t>
  </si>
  <si>
    <t>754 </t>
  </si>
  <si>
    <t>Nguyễn Thị Hoá</t>
  </si>
  <si>
    <t>755 </t>
  </si>
  <si>
    <t>Phạm Thị Bích Liên</t>
  </si>
  <si>
    <t>756 </t>
  </si>
  <si>
    <t>Lê Thị Thanh Ngoan</t>
  </si>
  <si>
    <t>757 </t>
  </si>
  <si>
    <t>Đỗ Thị Phương</t>
  </si>
  <si>
    <t>758 </t>
  </si>
  <si>
    <t>Lê Thị Kim Quý</t>
  </si>
  <si>
    <t>759 </t>
  </si>
  <si>
    <t>760 </t>
  </si>
  <si>
    <t>Nguyễn Thị Thanh Thảo</t>
  </si>
  <si>
    <t>761 </t>
  </si>
  <si>
    <t>Phạm Thị Thảo</t>
  </si>
  <si>
    <t>762 </t>
  </si>
  <si>
    <t>Nguyễn Trọng Thi</t>
  </si>
  <si>
    <t>763 </t>
  </si>
  <si>
    <t>Hán Thành Trung</t>
  </si>
  <si>
    <t>764 </t>
  </si>
  <si>
    <t>Trần Xuân Chương</t>
  </si>
  <si>
    <t>QH-12-X-CH.VHDG</t>
  </si>
  <si>
    <t>765 </t>
  </si>
  <si>
    <t>766 </t>
  </si>
  <si>
    <t>Kiều Thu Hiền</t>
  </si>
  <si>
    <t>767 </t>
  </si>
  <si>
    <t>Đào Thị Lý</t>
  </si>
  <si>
    <t>768 </t>
  </si>
  <si>
    <t>Nguyễn Thanh Nga</t>
  </si>
  <si>
    <t>769 </t>
  </si>
  <si>
    <t>Mai Thị Nhung</t>
  </si>
  <si>
    <t>770 </t>
  </si>
  <si>
    <t>771 </t>
  </si>
  <si>
    <t>Lê Thị Phượng</t>
  </si>
  <si>
    <t>772 </t>
  </si>
  <si>
    <t>Nguyễn Thị Hồng Thanh</t>
  </si>
  <si>
    <t>773 </t>
  </si>
  <si>
    <t>774 </t>
  </si>
  <si>
    <t>Trương Ngọc Tùng</t>
  </si>
  <si>
    <t>775 </t>
  </si>
  <si>
    <t>QH-12-X-CH.VHNN</t>
  </si>
  <si>
    <t>776 </t>
  </si>
  <si>
    <t>777 </t>
  </si>
  <si>
    <t>778 </t>
  </si>
  <si>
    <t>779 </t>
  </si>
  <si>
    <t>780 </t>
  </si>
  <si>
    <t>781 </t>
  </si>
  <si>
    <t>782 </t>
  </si>
  <si>
    <t>Nguyễn Thị Thơm</t>
  </si>
  <si>
    <t>783 </t>
  </si>
  <si>
    <t>Nguyễn Thuý An</t>
  </si>
  <si>
    <t>QH-12-X-CH.VHVN</t>
  </si>
  <si>
    <t>784 </t>
  </si>
  <si>
    <t>785 </t>
  </si>
  <si>
    <t>786 </t>
  </si>
  <si>
    <t>Lương Thị Thu Hà</t>
  </si>
  <si>
    <t>787 </t>
  </si>
  <si>
    <t>Nguyễn Nhị Hà</t>
  </si>
  <si>
    <t>788 </t>
  </si>
  <si>
    <t>789 </t>
  </si>
  <si>
    <t>Tạ Thị Hà</t>
  </si>
  <si>
    <t>790 </t>
  </si>
  <si>
    <t>791 </t>
  </si>
  <si>
    <t>792 </t>
  </si>
  <si>
    <t>Phùng Thu Hằng</t>
  </si>
  <si>
    <t>793 </t>
  </si>
  <si>
    <t>Trần Mai Thanh Hằng</t>
  </si>
  <si>
    <t>794 </t>
  </si>
  <si>
    <t>Đỗ Thị Hậu</t>
  </si>
  <si>
    <t>795 </t>
  </si>
  <si>
    <t>796 </t>
  </si>
  <si>
    <t>Đàm Thị Thanh Huyền</t>
  </si>
  <si>
    <t>797 </t>
  </si>
  <si>
    <t>798 </t>
  </si>
  <si>
    <t>799 </t>
  </si>
  <si>
    <t>Phạm Thị Thu Hương</t>
  </si>
  <si>
    <t>800 </t>
  </si>
  <si>
    <t>801 </t>
  </si>
  <si>
    <t>Trịnh Thu Hương</t>
  </si>
  <si>
    <t>802 </t>
  </si>
  <si>
    <t>Lưu Thị Lan</t>
  </si>
  <si>
    <t>803 </t>
  </si>
  <si>
    <t>Phạm Ngọc Lan</t>
  </si>
  <si>
    <t>804 </t>
  </si>
  <si>
    <t>Phạm Thuý Lâm</t>
  </si>
  <si>
    <t>805 </t>
  </si>
  <si>
    <t>Nguyễn Thị Liên</t>
  </si>
  <si>
    <t>806 </t>
  </si>
  <si>
    <t>Vi Thùy Linh</t>
  </si>
  <si>
    <t>807 </t>
  </si>
  <si>
    <t>Đỗ Thị Lụa</t>
  </si>
  <si>
    <t>808 </t>
  </si>
  <si>
    <t>809 </t>
  </si>
  <si>
    <t>810 </t>
  </si>
  <si>
    <t>811 </t>
  </si>
  <si>
    <t>Nguyễn Thị Nhiệm</t>
  </si>
  <si>
    <t>812 </t>
  </si>
  <si>
    <t>Đoàn Hồng Nhung</t>
  </si>
  <si>
    <t>813 </t>
  </si>
  <si>
    <t>814 </t>
  </si>
  <si>
    <t>815 </t>
  </si>
  <si>
    <t>Nguyễn Thị Kim Oanh</t>
  </si>
  <si>
    <t>816 </t>
  </si>
  <si>
    <t>Hà Thị Sáng</t>
  </si>
  <si>
    <t>817 </t>
  </si>
  <si>
    <t>Nguyễn Trường Sinh</t>
  </si>
  <si>
    <t>818 </t>
  </si>
  <si>
    <t>819 </t>
  </si>
  <si>
    <t>820 </t>
  </si>
  <si>
    <t>Phạm Văn Thiệu</t>
  </si>
  <si>
    <t>821 </t>
  </si>
  <si>
    <t>822 </t>
  </si>
  <si>
    <t>Trần Thu Thuỷ</t>
  </si>
  <si>
    <t>823 </t>
  </si>
  <si>
    <t>824 </t>
  </si>
  <si>
    <t>825 </t>
  </si>
  <si>
    <t>826 </t>
  </si>
  <si>
    <t>827 </t>
  </si>
  <si>
    <t>828 </t>
  </si>
  <si>
    <t>Nguyễn Văn Tuấn</t>
  </si>
  <si>
    <t>829 </t>
  </si>
  <si>
    <t>Ngô Thị Tuyết</t>
  </si>
  <si>
    <t>830 </t>
  </si>
  <si>
    <t>831 </t>
  </si>
  <si>
    <t>832 </t>
  </si>
  <si>
    <t>Vũ Đình Vụ</t>
  </si>
  <si>
    <t>833 </t>
  </si>
  <si>
    <t>834 </t>
  </si>
  <si>
    <t>Nguyễn Kim Anh</t>
  </si>
  <si>
    <t>QH-12-X-CH.XHH</t>
  </si>
  <si>
    <t>835 </t>
  </si>
  <si>
    <t>Đỗ Văn Biên</t>
  </si>
  <si>
    <t>836 </t>
  </si>
  <si>
    <t>Đặng Minh Châu</t>
  </si>
  <si>
    <t>837 </t>
  </si>
  <si>
    <t>Lê Thị Hương Chi</t>
  </si>
  <si>
    <t>838 </t>
  </si>
  <si>
    <t>Trần Mạnh Cương</t>
  </si>
  <si>
    <t>839 </t>
  </si>
  <si>
    <t>Trịnh Thị Ngọc Diệp</t>
  </si>
  <si>
    <t>840 </t>
  </si>
  <si>
    <t>Nguyễn Văn Đạt</t>
  </si>
  <si>
    <t>841 </t>
  </si>
  <si>
    <t>Đinh Thị Giang</t>
  </si>
  <si>
    <t>842 </t>
  </si>
  <si>
    <t>843 </t>
  </si>
  <si>
    <t>Nguyễn Bích Hòa</t>
  </si>
  <si>
    <t>844 </t>
  </si>
  <si>
    <t>Hoàng Thị Thanh Huyền</t>
  </si>
  <si>
    <t>845 </t>
  </si>
  <si>
    <t>Phạm Thị Huyền</t>
  </si>
  <si>
    <t>846 </t>
  </si>
  <si>
    <t>847 </t>
  </si>
  <si>
    <t>Phạm Thị Lan Hương</t>
  </si>
  <si>
    <t>848 </t>
  </si>
  <si>
    <t>Thân Thị Hương</t>
  </si>
  <si>
    <t>849 </t>
  </si>
  <si>
    <t>Taekkham Inthaxay</t>
  </si>
  <si>
    <t>850 </t>
  </si>
  <si>
    <t>Đặng Hoàng Thanh Lan</t>
  </si>
  <si>
    <t>851 </t>
  </si>
  <si>
    <t>Đỗ Thị Ngọc Linh</t>
  </si>
  <si>
    <t>852 </t>
  </si>
  <si>
    <t>Ngô Mỹ Linh</t>
  </si>
  <si>
    <t>853 </t>
  </si>
  <si>
    <t>Phạm Thị Xuân Linh</t>
  </si>
  <si>
    <t>854 </t>
  </si>
  <si>
    <t>Lê Thị Luyên</t>
  </si>
  <si>
    <t>855 </t>
  </si>
  <si>
    <t>Nguyễn Thị Kiều Lương</t>
  </si>
  <si>
    <t>856 </t>
  </si>
  <si>
    <t>857 </t>
  </si>
  <si>
    <t>Trương Thị Ngọc Minh</t>
  </si>
  <si>
    <t>858 </t>
  </si>
  <si>
    <t>Trần Bắc Mỹ</t>
  </si>
  <si>
    <t>859 </t>
  </si>
  <si>
    <t>Nguyễn Thị Hằng Nga</t>
  </si>
  <si>
    <t>860 </t>
  </si>
  <si>
    <t>861 </t>
  </si>
  <si>
    <t>Dương Thị Ngọc</t>
  </si>
  <si>
    <t>862 </t>
  </si>
  <si>
    <t>Đặng Bảo Ngọc</t>
  </si>
  <si>
    <t>863 </t>
  </si>
  <si>
    <t>Trần Thị Nguyệt</t>
  </si>
  <si>
    <t>864 </t>
  </si>
  <si>
    <t>Hà Thị Mai Phương</t>
  </si>
  <si>
    <t>865 </t>
  </si>
  <si>
    <t>Nguyễn Việt Phương</t>
  </si>
  <si>
    <t>866 </t>
  </si>
  <si>
    <t>Nguyễn Thị Như Quỳnh</t>
  </si>
  <si>
    <t>867 </t>
  </si>
  <si>
    <t>868 </t>
  </si>
  <si>
    <t>Nguyễn Thị Minh Thuý</t>
  </si>
  <si>
    <t>869 </t>
  </si>
  <si>
    <t>Chu Văn Tiến</t>
  </si>
  <si>
    <t>870 </t>
  </si>
  <si>
    <t>Nguyễn Ngọc Tú</t>
  </si>
  <si>
    <t>871 </t>
  </si>
  <si>
    <t>Hoàng Thị Tư</t>
  </si>
  <si>
    <t>872 </t>
  </si>
  <si>
    <t>QH-12-X-CH.XHH (Hue)</t>
  </si>
  <si>
    <t>873 </t>
  </si>
  <si>
    <t>Nguyễn Cẩm Bình</t>
  </si>
  <si>
    <t>874 </t>
  </si>
  <si>
    <t>Nguyễn Thị Anh Đào</t>
  </si>
  <si>
    <t>875 </t>
  </si>
  <si>
    <t>Nguyễn Tư Hậu</t>
  </si>
  <si>
    <t>876 </t>
  </si>
  <si>
    <t>Lê Việt Linh</t>
  </si>
  <si>
    <t>877 </t>
  </si>
  <si>
    <t>Ngụy Thị Ngọc Thúy</t>
  </si>
  <si>
    <t>878 </t>
  </si>
  <si>
    <t>Trương Thị Thu Trang</t>
  </si>
  <si>
    <t>Chuyên ngành</t>
  </si>
  <si>
    <t>PHI 5001</t>
  </si>
  <si>
    <t>Điểm 1
(C. Cần)</t>
  </si>
  <si>
    <t>Nguyễn Thị Hòa</t>
  </si>
  <si>
    <t>Hồ Chí Minh học</t>
  </si>
  <si>
    <t>Lịch sử ĐCSVN</t>
  </si>
  <si>
    <t>Quan hệ quốc tế</t>
  </si>
  <si>
    <t>Mã số HV</t>
  </si>
  <si>
    <t>C. Thông tin về học phần</t>
  </si>
  <si>
    <t xml:space="preserve">     Học phần:</t>
  </si>
  <si>
    <t xml:space="preserve">     Mã học phần:</t>
  </si>
  <si>
    <t>KẾT QUẢ HỌC PHẦN TRIẾT HỌC MÁC - LÊNIN- KHÓA 2015 (Đợt 1)</t>
  </si>
  <si>
    <t>Học kỳ I năm học 2015- 2016</t>
  </si>
  <si>
    <t>15035000</t>
  </si>
  <si>
    <t>Phạm Khánh Dư</t>
  </si>
  <si>
    <t>02.02.1986</t>
  </si>
  <si>
    <t>15035001</t>
  </si>
  <si>
    <t>Nguyễn Đức Dục</t>
  </si>
  <si>
    <t>22.11.1981</t>
  </si>
  <si>
    <t>15035002</t>
  </si>
  <si>
    <t>Phạm Thị Hương Giang</t>
  </si>
  <si>
    <t>18.02.1976</t>
  </si>
  <si>
    <t>15035003</t>
  </si>
  <si>
    <t>Phạm Quỳnh Hoa</t>
  </si>
  <si>
    <t>30.03.1975</t>
  </si>
  <si>
    <t>15035004</t>
  </si>
  <si>
    <t>Vũ Thị Hồng</t>
  </si>
  <si>
    <t>19.07.1991</t>
  </si>
  <si>
    <t>15035005</t>
  </si>
  <si>
    <t>Nguyễn Thị Lan Hương</t>
  </si>
  <si>
    <t>18.06.1990</t>
  </si>
  <si>
    <t>15035006</t>
  </si>
  <si>
    <t>02.06.1990</t>
  </si>
  <si>
    <t>15035007</t>
  </si>
  <si>
    <t>Đào Quang Long</t>
  </si>
  <si>
    <t>02.02.1985</t>
  </si>
  <si>
    <t>15035008</t>
  </si>
  <si>
    <t>Vũ Thị Hà  Minh</t>
  </si>
  <si>
    <t>03.09.1990</t>
  </si>
  <si>
    <t>15035009</t>
  </si>
  <si>
    <t>Lưu Thị Bích Ngọc</t>
  </si>
  <si>
    <t>19.07.1981</t>
  </si>
  <si>
    <t>15035010</t>
  </si>
  <si>
    <t>Trần Thị Tuyết Nhung</t>
  </si>
  <si>
    <t>04.10.1990</t>
  </si>
  <si>
    <t>15035011</t>
  </si>
  <si>
    <t>Nguyễn Thị Thùy Ninh</t>
  </si>
  <si>
    <t>06.01.1983</t>
  </si>
  <si>
    <t>15035012</t>
  </si>
  <si>
    <t>08.06.1990</t>
  </si>
  <si>
    <t>15035013</t>
  </si>
  <si>
    <t>Nguyễn Xuân Tiến</t>
  </si>
  <si>
    <t>19.07.1986</t>
  </si>
  <si>
    <t>15035014</t>
  </si>
  <si>
    <t>Nguyễn Thiên Trang</t>
  </si>
  <si>
    <t>08.10.1992</t>
  </si>
  <si>
    <t>15035015</t>
  </si>
  <si>
    <t>Phạm Cẩm Tú</t>
  </si>
  <si>
    <t>01.05.1989</t>
  </si>
  <si>
    <t>15035017</t>
  </si>
  <si>
    <t>Lê Thị Khuyên</t>
  </si>
  <si>
    <t>23.01.1989</t>
  </si>
  <si>
    <t>15035018</t>
  </si>
  <si>
    <t>Trần Thị Lan Phương</t>
  </si>
  <si>
    <t>03.09.1988</t>
  </si>
  <si>
    <t>15035019</t>
  </si>
  <si>
    <t>Triệu Hồng Quang</t>
  </si>
  <si>
    <t>17.11.1991</t>
  </si>
  <si>
    <t>15035020</t>
  </si>
  <si>
    <t>Trương Phan Thanh Thuỷ</t>
  </si>
  <si>
    <t>12.03.1989</t>
  </si>
  <si>
    <t>15035021</t>
  </si>
  <si>
    <t>15.07.1989</t>
  </si>
  <si>
    <t>15035022</t>
  </si>
  <si>
    <t>Vũ Thị Ngọc Bích</t>
  </si>
  <si>
    <t>26.11.1991</t>
  </si>
  <si>
    <t>15035024</t>
  </si>
  <si>
    <t>Nguyễn Mậu Minh</t>
  </si>
  <si>
    <t>04.12.1992</t>
  </si>
  <si>
    <t>15035025</t>
  </si>
  <si>
    <t>Nguyễn Khánh Ngân</t>
  </si>
  <si>
    <t>06.05.1991</t>
  </si>
  <si>
    <t>15035026</t>
  </si>
  <si>
    <t>Dương Thị Thùy Văn</t>
  </si>
  <si>
    <t>22.12.1992</t>
  </si>
  <si>
    <t>15035027</t>
  </si>
  <si>
    <t>Dương Thị Hậu</t>
  </si>
  <si>
    <t>01.04.1991</t>
  </si>
  <si>
    <t>15035028</t>
  </si>
  <si>
    <t>Trần Minh Tâm</t>
  </si>
  <si>
    <t>17.10.1986</t>
  </si>
  <si>
    <t>15035029</t>
  </si>
  <si>
    <t>18.10.1992</t>
  </si>
  <si>
    <t>15035033</t>
  </si>
  <si>
    <t>Nguyễn Thị Chúc</t>
  </si>
  <si>
    <t>23.11.1992</t>
  </si>
  <si>
    <t>15035034</t>
  </si>
  <si>
    <t>Hoàng Thị Hà</t>
  </si>
  <si>
    <t>22.07.1986</t>
  </si>
  <si>
    <t>15035035</t>
  </si>
  <si>
    <t>29.06.1986</t>
  </si>
  <si>
    <t>15035036</t>
  </si>
  <si>
    <t>27.08.1992</t>
  </si>
  <si>
    <t>15035037</t>
  </si>
  <si>
    <t>Đỗ Thanh Hoàng</t>
  </si>
  <si>
    <t>28.10.1967</t>
  </si>
  <si>
    <t>15035038</t>
  </si>
  <si>
    <t>12.09.1992</t>
  </si>
  <si>
    <t>15035039</t>
  </si>
  <si>
    <t>Lê Thị Kỹ</t>
  </si>
  <si>
    <t>10.04.1986</t>
  </si>
  <si>
    <t>15035040</t>
  </si>
  <si>
    <t>Nguyễn Thị Ngọc Linh</t>
  </si>
  <si>
    <t>13.08.1987</t>
  </si>
  <si>
    <t>15035041</t>
  </si>
  <si>
    <t>Lâm Thị Nga</t>
  </si>
  <si>
    <t>10.11.1988</t>
  </si>
  <si>
    <t>15035042</t>
  </si>
  <si>
    <t>Đinh Thị Hồng Như</t>
  </si>
  <si>
    <t>07.03.1979</t>
  </si>
  <si>
    <t>15035043</t>
  </si>
  <si>
    <t>Kiều Thị Thủy</t>
  </si>
  <si>
    <t>18.01.1984</t>
  </si>
  <si>
    <t>15035044</t>
  </si>
  <si>
    <t>Nguyễn Thị Thu Thủy</t>
  </si>
  <si>
    <t>24.12.1984</t>
  </si>
  <si>
    <t>15035045</t>
  </si>
  <si>
    <t>Trần Thị Phương Dung</t>
  </si>
  <si>
    <t>30.11.1990</t>
  </si>
  <si>
    <t>Lịch sử Văn hóa VN</t>
  </si>
  <si>
    <t>15035046</t>
  </si>
  <si>
    <t>Nguyễn Thị Thanh  Hoa</t>
  </si>
  <si>
    <t>24.03.1991</t>
  </si>
  <si>
    <t>15035047</t>
  </si>
  <si>
    <t>Vương Thị Thúy An</t>
  </si>
  <si>
    <t>12.07.1992</t>
  </si>
  <si>
    <t>15035048</t>
  </si>
  <si>
    <t>Phan Trắc Thành Động</t>
  </si>
  <si>
    <t>08.06.1983</t>
  </si>
  <si>
    <t>15035049</t>
  </si>
  <si>
    <t>22.11.1985</t>
  </si>
  <si>
    <t>15035050</t>
  </si>
  <si>
    <t>Vũ Thị Hạnh Quỳnh</t>
  </si>
  <si>
    <t>16.08.1982</t>
  </si>
  <si>
    <t>15035051</t>
  </si>
  <si>
    <t>Lê Thanh Hải</t>
  </si>
  <si>
    <t>28.09.1992</t>
  </si>
  <si>
    <t>15035052</t>
  </si>
  <si>
    <t>Nguyễn Minh Hùng</t>
  </si>
  <si>
    <t>16.09.1991</t>
  </si>
  <si>
    <t>15035053</t>
  </si>
  <si>
    <t>Dương Quế Hương</t>
  </si>
  <si>
    <t>10.06.1982</t>
  </si>
  <si>
    <t>15035054</t>
  </si>
  <si>
    <t>Tạc Thị Minh Huyền</t>
  </si>
  <si>
    <t>27.07.1992</t>
  </si>
  <si>
    <t>15035055</t>
  </si>
  <si>
    <t>Nguyễn Thị Ngọc  Mai</t>
  </si>
  <si>
    <t>17.11.1989</t>
  </si>
  <si>
    <t>15035056</t>
  </si>
  <si>
    <t>09.08.1992</t>
  </si>
  <si>
    <t>15035057</t>
  </si>
  <si>
    <t>Nguyễn Tất Thắng</t>
  </si>
  <si>
    <t>12.08.1971</t>
  </si>
  <si>
    <t>15035058</t>
  </si>
  <si>
    <t>Nguyễn Thị Kim  Thu</t>
  </si>
  <si>
    <t>02.11.1979</t>
  </si>
  <si>
    <t>15035059</t>
  </si>
  <si>
    <t>Nguyễn Thị Việt Hằng</t>
  </si>
  <si>
    <t>01.11.1981</t>
  </si>
  <si>
    <t>15035060</t>
  </si>
  <si>
    <t>Trần Trung Long</t>
  </si>
  <si>
    <t>08.06.1988</t>
  </si>
  <si>
    <t>15035061</t>
  </si>
  <si>
    <t>Phạm Hồng Minh</t>
  </si>
  <si>
    <t>14.01.1988</t>
  </si>
  <si>
    <t>15035062</t>
  </si>
  <si>
    <t>Lê Mai Trang</t>
  </si>
  <si>
    <t>22.05.1977</t>
  </si>
  <si>
    <t>15035063</t>
  </si>
  <si>
    <t>Nguyễn Ngọc Anh</t>
  </si>
  <si>
    <t>02.11.1992</t>
  </si>
  <si>
    <t>15035064</t>
  </si>
  <si>
    <t>Trần Quốc Anh</t>
  </si>
  <si>
    <t>25.09.1979</t>
  </si>
  <si>
    <t>15035065</t>
  </si>
  <si>
    <t>Vũ Viết Việt Hải</t>
  </si>
  <si>
    <t>12.02.1974</t>
  </si>
  <si>
    <t>15035066</t>
  </si>
  <si>
    <t>Hồ Hoài Linh</t>
  </si>
  <si>
    <t>24.9.1982</t>
  </si>
  <si>
    <t>Lã Thị Vân</t>
  </si>
  <si>
    <t>08.10.1981</t>
  </si>
  <si>
    <t>KHTTTV</t>
  </si>
  <si>
    <t>Lê Thị Thùy Dương</t>
  </si>
  <si>
    <t>18.01.1982</t>
  </si>
  <si>
    <t>15035016</t>
  </si>
  <si>
    <t>Nguyễn Thị Hồng Hạnh</t>
  </si>
  <si>
    <t>25.08.1989</t>
  </si>
  <si>
    <t>Đặng Thị Diệu Thúy</t>
  </si>
  <si>
    <t>23.7.1967</t>
  </si>
  <si>
    <t>Lưu Cối Trinh</t>
  </si>
  <si>
    <t>ko học</t>
  </si>
  <si>
    <t>I</t>
  </si>
  <si>
    <t>đình chỉ thi</t>
  </si>
  <si>
    <t>ko dự thi</t>
  </si>
  <si>
    <t>Hoãn thi</t>
  </si>
  <si>
    <t>ko đạt, học lại</t>
  </si>
  <si>
    <t>Điểm 2 (T. luận)</t>
  </si>
  <si>
    <t>Hà Nội, ngày 09 tháng 01 năm 2016</t>
  </si>
  <si>
    <t>TL. HiỆU TRƯỞNG</t>
  </si>
  <si>
    <t>KT. TRƯỞNG PHÒNG ĐÀO TẠO SĐH</t>
  </si>
  <si>
    <t>PHÓ TRƯỞNG PHÒNG</t>
  </si>
  <si>
    <t>TS. Phạm Thị Thu Hoa</t>
  </si>
  <si>
    <t>Nguyễn Thị Hạnh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</si>
</sst>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;[Red]0.00"/>
    <numFmt numFmtId="166" formatCode="00000000"/>
    <numFmt numFmtId="167" formatCode="0.0;[Red]0.0"/>
    <numFmt numFmtId="168" formatCode="[&lt;=999999]######;\(0##\)\ ######"/>
    <numFmt numFmtId="169" formatCode="[&lt;=9999999]#######;\(\+###\)\ #######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1010000]d/m/yy;@"/>
  </numFmts>
  <fonts count="100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.VnTime"/>
      <family val="2"/>
    </font>
    <font>
      <b/>
      <sz val="10"/>
      <name val="Arial"/>
      <family val="2"/>
    </font>
    <font>
      <sz val="12"/>
      <name val=".VnArial Narrow"/>
      <family val="2"/>
    </font>
    <font>
      <i/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color indexed="8"/>
      <name val="Tahoma"/>
      <family val="2"/>
    </font>
    <font>
      <sz val="10"/>
      <name val=".Vn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Arial Unicode MS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.VnTime"/>
      <family val="2"/>
    </font>
    <font>
      <sz val="13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.VnTime"/>
      <family val="2"/>
    </font>
    <font>
      <b/>
      <sz val="8"/>
      <name val=".VnTim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13" fillId="0" borderId="0">
      <alignment vertical="center"/>
      <protection/>
    </xf>
    <xf numFmtId="0" fontId="1" fillId="32" borderId="7" applyNumberFormat="0" applyFont="0" applyAlignment="0" applyProtection="0"/>
    <xf numFmtId="0" fontId="91" fillId="27" borderId="8" applyNumberFormat="0" applyAlignment="0" applyProtection="0"/>
    <xf numFmtId="9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7" fontId="5" fillId="0" borderId="10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6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9" fontId="15" fillId="35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6" fontId="13" fillId="36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170" fontId="11" fillId="0" borderId="10" xfId="0" applyNumberFormat="1" applyFont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/>
    </xf>
    <xf numFmtId="170" fontId="11" fillId="36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36" borderId="11" xfId="0" applyFont="1" applyFill="1" applyBorder="1" applyAlignment="1">
      <alignment horizontal="left"/>
    </xf>
    <xf numFmtId="0" fontId="22" fillId="36" borderId="12" xfId="0" applyFont="1" applyFill="1" applyBorder="1" applyAlignment="1">
      <alignment horizontal="left"/>
    </xf>
    <xf numFmtId="167" fontId="15" fillId="0" borderId="10" xfId="0" applyNumberFormat="1" applyFont="1" applyFill="1" applyBorder="1" applyAlignment="1">
      <alignment horizontal="center"/>
    </xf>
    <xf numFmtId="167" fontId="15" fillId="36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10" xfId="0" applyFont="1" applyBorder="1" applyAlignment="1">
      <alignment wrapText="1"/>
    </xf>
    <xf numFmtId="0" fontId="29" fillId="36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166" fontId="47" fillId="0" borderId="1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70" fontId="46" fillId="0" borderId="10" xfId="0" applyNumberFormat="1" applyFont="1" applyBorder="1" applyAlignment="1">
      <alignment horizontal="center"/>
    </xf>
    <xf numFmtId="170" fontId="46" fillId="0" borderId="10" xfId="0" applyNumberFormat="1" applyFont="1" applyFill="1" applyBorder="1" applyAlignment="1">
      <alignment horizontal="center"/>
    </xf>
    <xf numFmtId="167" fontId="45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70" fontId="47" fillId="0" borderId="10" xfId="0" applyNumberFormat="1" applyFont="1" applyFill="1" applyBorder="1" applyAlignment="1">
      <alignment horizontal="center"/>
    </xf>
    <xf numFmtId="170" fontId="47" fillId="37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170" fontId="48" fillId="0" borderId="10" xfId="0" applyNumberFormat="1" applyFont="1" applyFill="1" applyBorder="1" applyAlignment="1">
      <alignment horizontal="center"/>
    </xf>
    <xf numFmtId="167" fontId="50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7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14" fontId="47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166" fontId="47" fillId="36" borderId="10" xfId="0" applyNumberFormat="1" applyFont="1" applyFill="1" applyBorder="1" applyAlignment="1">
      <alignment horizontal="center"/>
    </xf>
    <xf numFmtId="0" fontId="46" fillId="36" borderId="11" xfId="0" applyFont="1" applyFill="1" applyBorder="1" applyAlignment="1">
      <alignment horizontal="left"/>
    </xf>
    <xf numFmtId="0" fontId="46" fillId="36" borderId="12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center"/>
    </xf>
    <xf numFmtId="170" fontId="46" fillId="36" borderId="10" xfId="0" applyNumberFormat="1" applyFont="1" applyFill="1" applyBorder="1" applyAlignment="1">
      <alignment horizontal="center"/>
    </xf>
    <xf numFmtId="167" fontId="45" fillId="36" borderId="10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wrapText="1"/>
    </xf>
    <xf numFmtId="14" fontId="47" fillId="36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47" fillId="36" borderId="11" xfId="0" applyFont="1" applyFill="1" applyBorder="1" applyAlignment="1">
      <alignment horizontal="left"/>
    </xf>
    <xf numFmtId="0" fontId="47" fillId="36" borderId="12" xfId="0" applyFont="1" applyFill="1" applyBorder="1" applyAlignment="1">
      <alignment horizontal="left"/>
    </xf>
    <xf numFmtId="14" fontId="46" fillId="36" borderId="10" xfId="0" applyNumberFormat="1" applyFont="1" applyFill="1" applyBorder="1" applyAlignment="1">
      <alignment horizontal="center"/>
    </xf>
    <xf numFmtId="0" fontId="46" fillId="36" borderId="0" xfId="0" applyFont="1" applyFill="1" applyAlignment="1">
      <alignment/>
    </xf>
    <xf numFmtId="170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70" fontId="36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6" fillId="0" borderId="10" xfId="0" applyFont="1" applyFill="1" applyBorder="1" applyAlignment="1" quotePrefix="1">
      <alignment horizontal="center" vertical="center" wrapText="1"/>
    </xf>
    <xf numFmtId="0" fontId="51" fillId="38" borderId="16" xfId="0" applyFont="1" applyFill="1" applyBorder="1" applyAlignment="1">
      <alignment horizontal="center" wrapText="1"/>
    </xf>
    <xf numFmtId="0" fontId="51" fillId="38" borderId="17" xfId="0" applyFont="1" applyFill="1" applyBorder="1" applyAlignment="1">
      <alignment horizontal="center" wrapText="1"/>
    </xf>
    <xf numFmtId="0" fontId="13" fillId="38" borderId="0" xfId="0" applyFont="1" applyFill="1" applyAlignment="1">
      <alignment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/>
    </xf>
    <xf numFmtId="0" fontId="51" fillId="0" borderId="19" xfId="0" applyFont="1" applyBorder="1" applyAlignment="1">
      <alignment wrapText="1"/>
    </xf>
    <xf numFmtId="14" fontId="51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3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6" fillId="0" borderId="10" xfId="0" applyFont="1" applyFill="1" applyBorder="1" applyAlignment="1" quotePrefix="1">
      <alignment horizontal="center" vertical="center"/>
    </xf>
    <xf numFmtId="14" fontId="36" fillId="0" borderId="10" xfId="0" applyNumberFormat="1" applyFont="1" applyFill="1" applyBorder="1" applyAlignment="1" quotePrefix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9" fontId="34" fillId="0" borderId="10" xfId="6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9" fontId="34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0" fontId="18" fillId="0" borderId="0" xfId="0" applyNumberFormat="1" applyFont="1" applyFill="1" applyBorder="1" applyAlignment="1">
      <alignment horizontal="center" vertical="center"/>
    </xf>
    <xf numFmtId="167" fontId="40" fillId="0" borderId="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96" fillId="0" borderId="10" xfId="0" applyNumberFormat="1" applyFont="1" applyFill="1" applyBorder="1" applyAlignment="1">
      <alignment horizontal="center" vertical="center" wrapText="1"/>
    </xf>
    <xf numFmtId="0" fontId="96" fillId="7" borderId="10" xfId="0" applyNumberFormat="1" applyFont="1" applyFill="1" applyBorder="1" applyAlignment="1">
      <alignment horizontal="center" vertical="center" wrapText="1"/>
    </xf>
    <xf numFmtId="0" fontId="95" fillId="7" borderId="10" xfId="0" applyFont="1" applyFill="1" applyBorder="1" applyAlignment="1">
      <alignment horizontal="center" vertical="center"/>
    </xf>
    <xf numFmtId="0" fontId="96" fillId="7" borderId="11" xfId="0" applyFont="1" applyFill="1" applyBorder="1" applyAlignment="1">
      <alignment horizontal="center" vertical="center"/>
    </xf>
    <xf numFmtId="0" fontId="96" fillId="7" borderId="10" xfId="0" applyFont="1" applyFill="1" applyBorder="1" applyAlignment="1" quotePrefix="1">
      <alignment horizontal="center" vertical="center" wrapText="1"/>
    </xf>
    <xf numFmtId="0" fontId="96" fillId="7" borderId="10" xfId="0" applyFont="1" applyFill="1" applyBorder="1" applyAlignment="1">
      <alignment vertical="center" wrapText="1"/>
    </xf>
    <xf numFmtId="14" fontId="96" fillId="7" borderId="10" xfId="0" applyNumberFormat="1" applyFont="1" applyFill="1" applyBorder="1" applyAlignment="1" quotePrefix="1">
      <alignment horizontal="center" vertical="center" wrapText="1"/>
    </xf>
    <xf numFmtId="0" fontId="96" fillId="7" borderId="10" xfId="0" applyNumberFormat="1" applyFont="1" applyFill="1" applyBorder="1" applyAlignment="1">
      <alignment horizontal="left" vertical="center" wrapText="1"/>
    </xf>
    <xf numFmtId="170" fontId="96" fillId="7" borderId="10" xfId="0" applyNumberFormat="1" applyFont="1" applyFill="1" applyBorder="1" applyAlignment="1">
      <alignment horizontal="center" vertical="center"/>
    </xf>
    <xf numFmtId="167" fontId="97" fillId="7" borderId="10" xfId="0" applyNumberFormat="1" applyFont="1" applyFill="1" applyBorder="1" applyAlignment="1">
      <alignment horizontal="center" vertical="center"/>
    </xf>
    <xf numFmtId="0" fontId="96" fillId="7" borderId="0" xfId="0" applyFont="1" applyFill="1" applyAlignment="1">
      <alignment vertical="center"/>
    </xf>
    <xf numFmtId="167" fontId="96" fillId="7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0" xfId="0" applyFont="1" applyFill="1" applyBorder="1" applyAlignment="1" quotePrefix="1">
      <alignment horizontal="center" vertical="center" wrapText="1"/>
    </xf>
    <xf numFmtId="0" fontId="96" fillId="0" borderId="10" xfId="0" applyFont="1" applyFill="1" applyBorder="1" applyAlignment="1">
      <alignment vertical="center" wrapText="1"/>
    </xf>
    <xf numFmtId="14" fontId="96" fillId="0" borderId="10" xfId="0" applyNumberFormat="1" applyFont="1" applyFill="1" applyBorder="1" applyAlignment="1" quotePrefix="1">
      <alignment horizontal="center" vertical="center" wrapText="1"/>
    </xf>
    <xf numFmtId="0" fontId="96" fillId="0" borderId="10" xfId="0" applyNumberFormat="1" applyFont="1" applyFill="1" applyBorder="1" applyAlignment="1">
      <alignment horizontal="left" vertical="center" wrapText="1"/>
    </xf>
    <xf numFmtId="170" fontId="96" fillId="0" borderId="10" xfId="0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 vertical="center"/>
    </xf>
    <xf numFmtId="167" fontId="96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vertical="center"/>
    </xf>
    <xf numFmtId="0" fontId="96" fillId="7" borderId="10" xfId="0" applyFont="1" applyFill="1" applyBorder="1" applyAlignment="1">
      <alignment vertical="center"/>
    </xf>
    <xf numFmtId="0" fontId="98" fillId="7" borderId="10" xfId="0" applyFont="1" applyFill="1" applyBorder="1" applyAlignment="1">
      <alignment horizontal="center" vertical="center"/>
    </xf>
    <xf numFmtId="0" fontId="94" fillId="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9525</xdr:rowOff>
    </xdr:from>
    <xdr:to>
      <xdr:col>3</xdr:col>
      <xdr:colOff>428625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123950" y="581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9525</xdr:rowOff>
    </xdr:from>
    <xdr:to>
      <xdr:col>3</xdr:col>
      <xdr:colOff>428625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057275" y="6096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180975</xdr:colOff>
      <xdr:row>3</xdr:row>
      <xdr:rowOff>152400</xdr:rowOff>
    </xdr:to>
    <xdr:pic>
      <xdr:nvPicPr>
        <xdr:cNvPr id="2" name="Picture 2" descr="Xh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5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95250</xdr:rowOff>
    </xdr:from>
    <xdr:to>
      <xdr:col>1</xdr:col>
      <xdr:colOff>447675</xdr:colOff>
      <xdr:row>7</xdr:row>
      <xdr:rowOff>47625</xdr:rowOff>
    </xdr:to>
    <xdr:pic>
      <xdr:nvPicPr>
        <xdr:cNvPr id="2" name="Picture 3" descr="Xh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0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571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0</xdr:rowOff>
    </xdr:from>
    <xdr:to>
      <xdr:col>2</xdr:col>
      <xdr:colOff>1743075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5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D36" sqref="D36"/>
    </sheetView>
  </sheetViews>
  <sheetFormatPr defaultColWidth="8.796875" defaultRowHeight="15"/>
  <cols>
    <col min="1" max="1" width="5.19921875" style="1" customWidth="1"/>
    <col min="2" max="2" width="12.59765625" style="1" customWidth="1"/>
    <col min="3" max="3" width="18.3984375" style="3" customWidth="1"/>
    <col min="4" max="4" width="11.09765625" style="1" customWidth="1"/>
    <col min="5" max="5" width="9.19921875" style="1" customWidth="1"/>
    <col min="6" max="6" width="17.69921875" style="1" customWidth="1"/>
    <col min="7" max="12" width="5.19921875" style="3" customWidth="1"/>
    <col min="13" max="13" width="15.69921875" style="1" customWidth="1"/>
    <col min="14" max="16" width="9" style="1" customWidth="1"/>
  </cols>
  <sheetData>
    <row r="1" spans="1:12" s="1" customFormat="1" ht="15" customHeight="1">
      <c r="A1" s="260" t="s">
        <v>30</v>
      </c>
      <c r="B1" s="260"/>
      <c r="C1" s="260"/>
      <c r="D1" s="260"/>
      <c r="E1" s="260"/>
      <c r="F1" s="260" t="s">
        <v>33</v>
      </c>
      <c r="G1" s="260"/>
      <c r="H1" s="260"/>
      <c r="I1" s="260"/>
      <c r="J1" s="260"/>
      <c r="K1" s="260"/>
      <c r="L1" s="7"/>
    </row>
    <row r="2" spans="1:12" s="1" customFormat="1" ht="15" customHeight="1">
      <c r="A2" s="256" t="s">
        <v>31</v>
      </c>
      <c r="B2" s="256"/>
      <c r="C2" s="256"/>
      <c r="D2" s="256"/>
      <c r="E2" s="256"/>
      <c r="F2" s="261" t="s">
        <v>34</v>
      </c>
      <c r="G2" s="261"/>
      <c r="H2" s="261"/>
      <c r="I2" s="261"/>
      <c r="J2" s="261"/>
      <c r="K2" s="261"/>
      <c r="L2" s="7"/>
    </row>
    <row r="3" spans="1:12" s="1" customFormat="1" ht="15" customHeight="1">
      <c r="A3" s="256" t="s">
        <v>32</v>
      </c>
      <c r="B3" s="256"/>
      <c r="C3" s="256"/>
      <c r="D3" s="256"/>
      <c r="E3" s="256"/>
      <c r="F3" s="6"/>
      <c r="G3" s="7"/>
      <c r="H3" s="7"/>
      <c r="I3" s="7"/>
      <c r="J3" s="7"/>
      <c r="K3" s="7"/>
      <c r="L3" s="7"/>
    </row>
    <row r="4" spans="1:12" s="1" customFormat="1" ht="15" customHeight="1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s="1" customFormat="1" ht="15" customHeight="1">
      <c r="A5" s="257" t="s">
        <v>28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s="1" customFormat="1" ht="15" customHeight="1">
      <c r="A6" s="258" t="s">
        <v>1316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</row>
    <row r="7" spans="1:12" s="1" customFormat="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14" t="s">
        <v>36</v>
      </c>
      <c r="C9" s="10"/>
      <c r="D9" s="11"/>
      <c r="F9" s="14" t="s">
        <v>35</v>
      </c>
      <c r="G9" s="12"/>
      <c r="H9" s="12"/>
      <c r="I9" s="12"/>
      <c r="J9" s="12"/>
      <c r="K9" s="12"/>
      <c r="L9" s="12"/>
    </row>
    <row r="10" spans="1:16" ht="15">
      <c r="A10" s="20"/>
      <c r="B10" s="21" t="s">
        <v>1311</v>
      </c>
      <c r="C10" s="21" t="s">
        <v>29</v>
      </c>
      <c r="D10" s="22"/>
      <c r="E10" s="20"/>
      <c r="F10" s="23" t="s">
        <v>20</v>
      </c>
      <c r="G10" s="259"/>
      <c r="H10" s="259"/>
      <c r="I10" s="259"/>
      <c r="J10" s="259"/>
      <c r="K10" s="259"/>
      <c r="L10" s="259"/>
      <c r="M10" s="20"/>
      <c r="N10" s="20"/>
      <c r="O10" s="20"/>
      <c r="P10" s="20"/>
    </row>
    <row r="11" spans="1:16" ht="15">
      <c r="A11" s="20"/>
      <c r="B11" s="24" t="s">
        <v>10</v>
      </c>
      <c r="C11" s="25">
        <v>0.1</v>
      </c>
      <c r="D11" s="26"/>
      <c r="E11" s="20"/>
      <c r="F11" s="27" t="s">
        <v>21</v>
      </c>
      <c r="G11" s="248"/>
      <c r="H11" s="248"/>
      <c r="I11" s="248"/>
      <c r="J11" s="248"/>
      <c r="K11" s="248"/>
      <c r="L11" s="248"/>
      <c r="M11" s="20"/>
      <c r="N11" s="20"/>
      <c r="O11" s="20"/>
      <c r="P11" s="20"/>
    </row>
    <row r="12" spans="1:16" ht="15">
      <c r="A12" s="20"/>
      <c r="B12" s="24" t="s">
        <v>11</v>
      </c>
      <c r="C12" s="25">
        <v>0.1</v>
      </c>
      <c r="D12" s="26"/>
      <c r="E12" s="20"/>
      <c r="F12" s="27" t="s">
        <v>27</v>
      </c>
      <c r="G12" s="248"/>
      <c r="H12" s="248"/>
      <c r="I12" s="248"/>
      <c r="J12" s="248"/>
      <c r="K12" s="248"/>
      <c r="L12" s="248"/>
      <c r="M12" s="20"/>
      <c r="N12" s="20"/>
      <c r="O12" s="20"/>
      <c r="P12" s="20"/>
    </row>
    <row r="13" spans="1:16" ht="15">
      <c r="A13" s="20"/>
      <c r="B13" s="24" t="s">
        <v>12</v>
      </c>
      <c r="C13" s="25">
        <v>0.2</v>
      </c>
      <c r="D13" s="26"/>
      <c r="E13" s="20"/>
      <c r="F13" s="27" t="s">
        <v>22</v>
      </c>
      <c r="G13" s="248"/>
      <c r="H13" s="248"/>
      <c r="I13" s="248"/>
      <c r="J13" s="248"/>
      <c r="K13" s="248"/>
      <c r="L13" s="248"/>
      <c r="M13" s="20"/>
      <c r="N13" s="20"/>
      <c r="O13" s="20"/>
      <c r="P13" s="20"/>
    </row>
    <row r="14" spans="1:16" ht="15">
      <c r="A14" s="20"/>
      <c r="B14" s="24" t="s">
        <v>13</v>
      </c>
      <c r="C14" s="25">
        <v>0.6</v>
      </c>
      <c r="D14" s="26"/>
      <c r="E14" s="20"/>
      <c r="F14" s="27" t="s">
        <v>23</v>
      </c>
      <c r="G14" s="35"/>
      <c r="H14" s="22"/>
      <c r="I14" s="22"/>
      <c r="J14" s="22"/>
      <c r="K14" s="22"/>
      <c r="L14" s="22"/>
      <c r="M14" s="20"/>
      <c r="N14" s="20"/>
      <c r="O14" s="20"/>
      <c r="P14" s="20"/>
    </row>
    <row r="15" spans="1:16" ht="15">
      <c r="A15" s="20"/>
      <c r="B15" s="24" t="s">
        <v>14</v>
      </c>
      <c r="C15" s="25"/>
      <c r="D15" s="26"/>
      <c r="E15" s="20"/>
      <c r="F15" s="23" t="s">
        <v>26</v>
      </c>
      <c r="G15" s="35"/>
      <c r="H15" s="22"/>
      <c r="I15" s="22"/>
      <c r="J15" s="22"/>
      <c r="K15" s="22"/>
      <c r="L15" s="22"/>
      <c r="M15" s="20"/>
      <c r="N15" s="20"/>
      <c r="O15" s="20"/>
      <c r="P15" s="20"/>
    </row>
    <row r="16" spans="1:16" ht="15">
      <c r="A16" s="20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E16" s="20"/>
      <c r="F16" s="23" t="s">
        <v>24</v>
      </c>
      <c r="G16" s="35"/>
      <c r="H16" s="22"/>
      <c r="I16" s="22"/>
      <c r="J16" s="22"/>
      <c r="K16" s="22"/>
      <c r="L16" s="22"/>
      <c r="M16" s="20"/>
      <c r="N16" s="20"/>
      <c r="O16" s="20"/>
      <c r="P16" s="20"/>
    </row>
    <row r="17" spans="1:16" ht="15">
      <c r="A17" s="20"/>
      <c r="B17" s="30"/>
      <c r="C17" s="31"/>
      <c r="D17" s="26"/>
      <c r="E17" s="20"/>
      <c r="F17" s="23" t="s">
        <v>25</v>
      </c>
      <c r="G17" s="35"/>
      <c r="H17" s="22"/>
      <c r="I17" s="22"/>
      <c r="J17" s="22"/>
      <c r="K17" s="22"/>
      <c r="L17" s="22"/>
      <c r="M17" s="20"/>
      <c r="N17" s="20"/>
      <c r="O17" s="20"/>
      <c r="P17" s="20"/>
    </row>
    <row r="18" spans="2:12" ht="1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3" ht="15">
      <c r="A19" s="245" t="s">
        <v>17</v>
      </c>
      <c r="B19" s="250" t="s">
        <v>18</v>
      </c>
      <c r="C19" s="252" t="s">
        <v>8</v>
      </c>
      <c r="D19" s="253"/>
      <c r="E19" s="250" t="s">
        <v>9</v>
      </c>
      <c r="F19" s="246" t="s">
        <v>19</v>
      </c>
      <c r="G19" s="246" t="s">
        <v>10</v>
      </c>
      <c r="H19" s="246" t="s">
        <v>11</v>
      </c>
      <c r="I19" s="246" t="s">
        <v>12</v>
      </c>
      <c r="J19" s="246" t="s">
        <v>13</v>
      </c>
      <c r="K19" s="246" t="s">
        <v>14</v>
      </c>
      <c r="L19" s="246" t="s">
        <v>15</v>
      </c>
      <c r="M19" s="245" t="s">
        <v>1312</v>
      </c>
    </row>
    <row r="20" spans="1:13" ht="15">
      <c r="A20" s="249"/>
      <c r="B20" s="251"/>
      <c r="C20" s="254"/>
      <c r="D20" s="255"/>
      <c r="E20" s="251"/>
      <c r="F20" s="251"/>
      <c r="G20" s="247"/>
      <c r="H20" s="247"/>
      <c r="I20" s="247"/>
      <c r="J20" s="247"/>
      <c r="K20" s="247"/>
      <c r="L20" s="247"/>
      <c r="M20" s="245"/>
    </row>
    <row r="21" spans="1:13" ht="15">
      <c r="A21" s="2">
        <v>17</v>
      </c>
      <c r="B21" s="16" t="s">
        <v>1044</v>
      </c>
      <c r="C21" s="32" t="s">
        <v>41</v>
      </c>
      <c r="D21" s="33" t="s">
        <v>449</v>
      </c>
      <c r="E21" s="18" t="s">
        <v>791</v>
      </c>
      <c r="F21" s="17" t="s">
        <v>1297</v>
      </c>
      <c r="G21" s="19">
        <v>7</v>
      </c>
      <c r="H21" s="19">
        <v>7</v>
      </c>
      <c r="I21" s="19">
        <v>7</v>
      </c>
      <c r="J21" s="19">
        <v>7</v>
      </c>
      <c r="K21" s="19"/>
      <c r="L21" s="15">
        <f aca="true" t="shared" si="0" ref="L21:L27">ROUND(G21*$C$11+H21*$C$12+I21*$C$13+J21*$C$14+K21*$C$15,1)</f>
        <v>7</v>
      </c>
      <c r="M21" s="2" t="s">
        <v>851</v>
      </c>
    </row>
    <row r="22" spans="1:13" ht="15">
      <c r="A22" s="2">
        <v>1</v>
      </c>
      <c r="B22" s="16" t="s">
        <v>1045</v>
      </c>
      <c r="C22" s="32" t="s">
        <v>230</v>
      </c>
      <c r="D22" s="33" t="s">
        <v>37</v>
      </c>
      <c r="E22" s="18" t="s">
        <v>618</v>
      </c>
      <c r="F22" s="17" t="s">
        <v>1299</v>
      </c>
      <c r="G22" s="19"/>
      <c r="H22" s="19">
        <v>7</v>
      </c>
      <c r="I22" s="19">
        <v>3.5</v>
      </c>
      <c r="J22" s="19">
        <v>7</v>
      </c>
      <c r="K22" s="19"/>
      <c r="L22" s="15">
        <f t="shared" si="0"/>
        <v>5.6</v>
      </c>
      <c r="M22" s="2" t="s">
        <v>854</v>
      </c>
    </row>
    <row r="23" spans="1:13" ht="15">
      <c r="A23" s="2">
        <v>2</v>
      </c>
      <c r="B23" s="16" t="s">
        <v>1046</v>
      </c>
      <c r="C23" s="32" t="s">
        <v>208</v>
      </c>
      <c r="D23" s="33" t="s">
        <v>48</v>
      </c>
      <c r="E23" s="18" t="s">
        <v>623</v>
      </c>
      <c r="F23" s="17" t="s">
        <v>1299</v>
      </c>
      <c r="G23" s="19">
        <v>7</v>
      </c>
      <c r="H23" s="19">
        <v>9</v>
      </c>
      <c r="I23" s="19">
        <v>7</v>
      </c>
      <c r="J23" s="19">
        <v>7</v>
      </c>
      <c r="K23" s="19"/>
      <c r="L23" s="15">
        <f t="shared" si="0"/>
        <v>7.2</v>
      </c>
      <c r="M23" s="2" t="s">
        <v>854</v>
      </c>
    </row>
    <row r="24" spans="1:13" ht="15">
      <c r="A24" s="2">
        <v>3</v>
      </c>
      <c r="B24" s="16" t="s">
        <v>1047</v>
      </c>
      <c r="C24" s="32" t="s">
        <v>232</v>
      </c>
      <c r="D24" s="33" t="s">
        <v>49</v>
      </c>
      <c r="E24" s="18" t="s">
        <v>622</v>
      </c>
      <c r="F24" s="17" t="s">
        <v>1299</v>
      </c>
      <c r="G24" s="19">
        <v>7</v>
      </c>
      <c r="H24" s="19">
        <v>7</v>
      </c>
      <c r="I24" s="19">
        <v>7</v>
      </c>
      <c r="J24" s="19">
        <v>5</v>
      </c>
      <c r="K24" s="19"/>
      <c r="L24" s="15">
        <f t="shared" si="0"/>
        <v>5.8</v>
      </c>
      <c r="M24" s="2" t="s">
        <v>854</v>
      </c>
    </row>
    <row r="25" spans="1:13" ht="15">
      <c r="A25" s="2">
        <v>4</v>
      </c>
      <c r="B25" s="16" t="s">
        <v>1048</v>
      </c>
      <c r="C25" s="32" t="s">
        <v>405</v>
      </c>
      <c r="D25" s="33" t="s">
        <v>49</v>
      </c>
      <c r="E25" s="18" t="s">
        <v>621</v>
      </c>
      <c r="F25" s="17" t="s">
        <v>1299</v>
      </c>
      <c r="G25" s="19">
        <v>6</v>
      </c>
      <c r="H25" s="19">
        <v>7</v>
      </c>
      <c r="I25" s="19">
        <v>3.5</v>
      </c>
      <c r="J25" s="19">
        <v>8</v>
      </c>
      <c r="K25" s="19"/>
      <c r="L25" s="15">
        <f t="shared" si="0"/>
        <v>6.8</v>
      </c>
      <c r="M25" s="2" t="s">
        <v>854</v>
      </c>
    </row>
    <row r="26" spans="1:13" ht="15">
      <c r="A26" s="2">
        <v>5</v>
      </c>
      <c r="B26" s="16" t="s">
        <v>1049</v>
      </c>
      <c r="C26" s="32" t="s">
        <v>348</v>
      </c>
      <c r="D26" s="33" t="s">
        <v>51</v>
      </c>
      <c r="E26" s="18" t="s">
        <v>840</v>
      </c>
      <c r="F26" s="17" t="s">
        <v>1299</v>
      </c>
      <c r="G26" s="19">
        <v>7</v>
      </c>
      <c r="H26" s="19" t="s">
        <v>1315</v>
      </c>
      <c r="I26" s="19">
        <v>7</v>
      </c>
      <c r="J26" s="19">
        <v>7</v>
      </c>
      <c r="K26" s="19"/>
      <c r="L26" s="15" t="e">
        <f t="shared" si="0"/>
        <v>#VALUE!</v>
      </c>
      <c r="M26" s="2" t="s">
        <v>854</v>
      </c>
    </row>
    <row r="27" spans="1:13" ht="15">
      <c r="A27" s="2">
        <v>6</v>
      </c>
      <c r="B27" s="16" t="s">
        <v>1050</v>
      </c>
      <c r="C27" s="32" t="s">
        <v>128</v>
      </c>
      <c r="D27" s="33" t="s">
        <v>58</v>
      </c>
      <c r="E27" s="18" t="s">
        <v>624</v>
      </c>
      <c r="F27" s="17" t="s">
        <v>1299</v>
      </c>
      <c r="G27" s="19"/>
      <c r="H27" s="19"/>
      <c r="I27" s="19"/>
      <c r="J27" s="19"/>
      <c r="K27" s="19"/>
      <c r="L27" s="15">
        <f t="shared" si="0"/>
        <v>0</v>
      </c>
      <c r="M27" s="2" t="s">
        <v>854</v>
      </c>
    </row>
    <row r="28" spans="1:13" ht="15">
      <c r="A28" s="2">
        <v>7</v>
      </c>
      <c r="B28" s="16" t="s">
        <v>1051</v>
      </c>
      <c r="C28" s="32" t="s">
        <v>231</v>
      </c>
      <c r="D28" s="33" t="s">
        <v>394</v>
      </c>
      <c r="E28" s="18" t="s">
        <v>619</v>
      </c>
      <c r="F28" s="17" t="s">
        <v>1299</v>
      </c>
      <c r="G28" s="19">
        <v>6</v>
      </c>
      <c r="H28" s="19">
        <v>9</v>
      </c>
      <c r="I28" s="19">
        <v>5.5</v>
      </c>
      <c r="J28" s="19">
        <v>8</v>
      </c>
      <c r="K28" s="19"/>
      <c r="L28" s="15">
        <f aca="true" t="shared" si="1" ref="L28:L35">ROUND(G28*$C$11+H28*$C$12+I28*$C$13+J28*$C$14+K28*$C$15,1)</f>
        <v>7.4</v>
      </c>
      <c r="M28" s="2" t="s">
        <v>854</v>
      </c>
    </row>
    <row r="29" spans="1:13" ht="15">
      <c r="A29" s="2">
        <v>8</v>
      </c>
      <c r="B29" s="16" t="s">
        <v>1052</v>
      </c>
      <c r="C29" s="32" t="s">
        <v>378</v>
      </c>
      <c r="D29" s="33" t="s">
        <v>116</v>
      </c>
      <c r="E29" s="18" t="s">
        <v>615</v>
      </c>
      <c r="F29" s="17" t="s">
        <v>1299</v>
      </c>
      <c r="G29" s="19">
        <v>6</v>
      </c>
      <c r="H29" s="19">
        <v>8</v>
      </c>
      <c r="I29" s="19">
        <v>5.5</v>
      </c>
      <c r="J29" s="19">
        <v>8</v>
      </c>
      <c r="K29" s="19"/>
      <c r="L29" s="15">
        <f t="shared" si="1"/>
        <v>7.3</v>
      </c>
      <c r="M29" s="2" t="s">
        <v>854</v>
      </c>
    </row>
    <row r="30" spans="1:13" ht="15">
      <c r="A30" s="2">
        <v>9</v>
      </c>
      <c r="B30" s="16" t="s">
        <v>1053</v>
      </c>
      <c r="C30" s="32" t="s">
        <v>228</v>
      </c>
      <c r="D30" s="33" t="s">
        <v>63</v>
      </c>
      <c r="E30" s="18" t="s">
        <v>614</v>
      </c>
      <c r="F30" s="17" t="s">
        <v>1299</v>
      </c>
      <c r="G30" s="19">
        <v>6</v>
      </c>
      <c r="H30" s="19"/>
      <c r="I30" s="19">
        <v>7.5</v>
      </c>
      <c r="J30" s="19">
        <v>5</v>
      </c>
      <c r="K30" s="19"/>
      <c r="L30" s="15">
        <f t="shared" si="1"/>
        <v>5.1</v>
      </c>
      <c r="M30" s="2" t="s">
        <v>854</v>
      </c>
    </row>
    <row r="31" spans="1:13" ht="15">
      <c r="A31" s="2">
        <v>10</v>
      </c>
      <c r="B31" s="16" t="s">
        <v>1054</v>
      </c>
      <c r="C31" s="32" t="s">
        <v>404</v>
      </c>
      <c r="D31" s="33" t="s">
        <v>64</v>
      </c>
      <c r="E31" s="18" t="s">
        <v>620</v>
      </c>
      <c r="F31" s="17" t="s">
        <v>1299</v>
      </c>
      <c r="G31" s="19">
        <v>6</v>
      </c>
      <c r="H31" s="19">
        <v>7</v>
      </c>
      <c r="I31" s="19">
        <v>4</v>
      </c>
      <c r="J31" s="19">
        <v>7</v>
      </c>
      <c r="K31" s="19"/>
      <c r="L31" s="15">
        <f t="shared" si="1"/>
        <v>6.3</v>
      </c>
      <c r="M31" s="2" t="s">
        <v>854</v>
      </c>
    </row>
    <row r="32" spans="1:13" ht="15">
      <c r="A32" s="2">
        <v>11</v>
      </c>
      <c r="B32" s="16" t="s">
        <v>1055</v>
      </c>
      <c r="C32" s="32" t="s">
        <v>403</v>
      </c>
      <c r="D32" s="33" t="s">
        <v>115</v>
      </c>
      <c r="E32" s="18" t="s">
        <v>617</v>
      </c>
      <c r="F32" s="17" t="s">
        <v>1299</v>
      </c>
      <c r="G32" s="19">
        <v>6</v>
      </c>
      <c r="H32" s="19"/>
      <c r="I32" s="19">
        <v>4</v>
      </c>
      <c r="J32" s="19">
        <v>6</v>
      </c>
      <c r="K32" s="19"/>
      <c r="L32" s="15">
        <f t="shared" si="1"/>
        <v>5</v>
      </c>
      <c r="M32" s="2" t="s">
        <v>854</v>
      </c>
    </row>
    <row r="33" spans="1:13" ht="15">
      <c r="A33" s="2">
        <v>12</v>
      </c>
      <c r="B33" s="16" t="s">
        <v>1056</v>
      </c>
      <c r="C33" s="32" t="s">
        <v>349</v>
      </c>
      <c r="D33" s="33" t="s">
        <v>866</v>
      </c>
      <c r="E33" s="18" t="s">
        <v>841</v>
      </c>
      <c r="F33" s="17" t="s">
        <v>1299</v>
      </c>
      <c r="G33" s="19">
        <v>6</v>
      </c>
      <c r="H33" s="19">
        <v>7</v>
      </c>
      <c r="I33" s="19">
        <v>0</v>
      </c>
      <c r="J33" s="19">
        <v>8</v>
      </c>
      <c r="K33" s="19"/>
      <c r="L33" s="15">
        <f t="shared" si="1"/>
        <v>6.1</v>
      </c>
      <c r="M33" s="2" t="s">
        <v>854</v>
      </c>
    </row>
    <row r="34" spans="1:13" ht="15">
      <c r="A34" s="2">
        <v>13</v>
      </c>
      <c r="B34" s="16" t="s">
        <v>1057</v>
      </c>
      <c r="C34" s="32" t="s">
        <v>39</v>
      </c>
      <c r="D34" s="33" t="s">
        <v>218</v>
      </c>
      <c r="E34" s="18" t="s">
        <v>625</v>
      </c>
      <c r="F34" s="17" t="s">
        <v>1299</v>
      </c>
      <c r="G34" s="19">
        <v>6</v>
      </c>
      <c r="H34" s="19">
        <v>8</v>
      </c>
      <c r="I34" s="19">
        <v>2</v>
      </c>
      <c r="J34" s="19">
        <v>5</v>
      </c>
      <c r="K34" s="19"/>
      <c r="L34" s="15">
        <f t="shared" si="1"/>
        <v>4.8</v>
      </c>
      <c r="M34" s="2" t="s">
        <v>854</v>
      </c>
    </row>
    <row r="35" spans="1:13" ht="15">
      <c r="A35" s="2">
        <v>14</v>
      </c>
      <c r="B35" s="16" t="s">
        <v>1058</v>
      </c>
      <c r="C35" s="32" t="s">
        <v>229</v>
      </c>
      <c r="D35" s="33" t="s">
        <v>162</v>
      </c>
      <c r="E35" s="18" t="s">
        <v>616</v>
      </c>
      <c r="F35" s="17" t="s">
        <v>1299</v>
      </c>
      <c r="G35" s="19">
        <v>6</v>
      </c>
      <c r="H35" s="19">
        <v>6</v>
      </c>
      <c r="I35" s="19">
        <v>6</v>
      </c>
      <c r="J35" s="19">
        <v>6</v>
      </c>
      <c r="K35" s="19"/>
      <c r="L35" s="15">
        <f t="shared" si="1"/>
        <v>6</v>
      </c>
      <c r="M35" s="2" t="s">
        <v>854</v>
      </c>
    </row>
  </sheetData>
  <sheetProtection/>
  <mergeCells count="23">
    <mergeCell ref="A3:E3"/>
    <mergeCell ref="A5:L5"/>
    <mergeCell ref="A6:L6"/>
    <mergeCell ref="G10:L10"/>
    <mergeCell ref="A1:E1"/>
    <mergeCell ref="F1:K1"/>
    <mergeCell ref="A2:E2"/>
    <mergeCell ref="F2:K2"/>
    <mergeCell ref="A19:A20"/>
    <mergeCell ref="B19:B20"/>
    <mergeCell ref="C19:D20"/>
    <mergeCell ref="E19:E20"/>
    <mergeCell ref="F19:F20"/>
    <mergeCell ref="G19:G20"/>
    <mergeCell ref="M19:M20"/>
    <mergeCell ref="I19:I20"/>
    <mergeCell ref="J19:J20"/>
    <mergeCell ref="K19:K20"/>
    <mergeCell ref="L19:L20"/>
    <mergeCell ref="G11:L11"/>
    <mergeCell ref="G12:L12"/>
    <mergeCell ref="G13:L13"/>
    <mergeCell ref="H19:H20"/>
  </mergeCells>
  <dataValidations count="4">
    <dataValidation type="whole" allowBlank="1" showInputMessage="1" showErrorMessage="1" errorTitle="Lưu ý" error="Không sửa chữa khu vực này. Thanks" sqref="L19:L35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sqref="B19:E20">
      <formula1>11111</formula1>
      <formula2>111111</formula2>
    </dataValidation>
  </dataValidations>
  <printOptions/>
  <pageMargins left="0.25" right="0.25" top="0.32" bottom="0.38" header="0.2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6">
      <selection activeCell="I44" sqref="I44"/>
    </sheetView>
  </sheetViews>
  <sheetFormatPr defaultColWidth="8.796875" defaultRowHeight="15"/>
  <cols>
    <col min="1" max="1" width="4.5" style="1" customWidth="1"/>
    <col min="2" max="2" width="9" style="1" customWidth="1"/>
    <col min="3" max="3" width="15.8984375" style="3" customWidth="1"/>
    <col min="4" max="4" width="6.5" style="1" customWidth="1"/>
    <col min="5" max="5" width="8.69921875" style="1" customWidth="1"/>
    <col min="6" max="6" width="11.5" style="1" customWidth="1"/>
    <col min="7" max="7" width="4.3984375" style="3" customWidth="1"/>
    <col min="8" max="9" width="4.8984375" style="3" customWidth="1"/>
    <col min="10" max="10" width="4.59765625" style="3" customWidth="1"/>
    <col min="11" max="11" width="2.19921875" style="3" customWidth="1"/>
    <col min="12" max="12" width="4.59765625" style="3" customWidth="1"/>
    <col min="13" max="13" width="9.19921875" style="49" customWidth="1"/>
  </cols>
  <sheetData>
    <row r="1" spans="1:12" ht="15.75">
      <c r="A1" s="260" t="s">
        <v>30</v>
      </c>
      <c r="B1" s="260"/>
      <c r="C1" s="260"/>
      <c r="D1" s="260"/>
      <c r="E1" s="260"/>
      <c r="F1" s="53"/>
      <c r="G1" s="53"/>
      <c r="H1" s="53"/>
      <c r="I1" s="53"/>
      <c r="J1" s="53"/>
      <c r="K1" s="53"/>
      <c r="L1" s="7"/>
    </row>
    <row r="2" spans="1:12" ht="15.75">
      <c r="A2" s="256" t="s">
        <v>31</v>
      </c>
      <c r="B2" s="256"/>
      <c r="C2" s="256"/>
      <c r="D2" s="256"/>
      <c r="E2" s="256"/>
      <c r="F2" s="54"/>
      <c r="G2" s="54"/>
      <c r="H2" s="54"/>
      <c r="I2" s="54"/>
      <c r="J2" s="54"/>
      <c r="K2" s="54"/>
      <c r="L2" s="55"/>
    </row>
    <row r="3" spans="1:12" ht="15.75">
      <c r="A3" s="256" t="s">
        <v>32</v>
      </c>
      <c r="B3" s="256"/>
      <c r="C3" s="256"/>
      <c r="D3" s="256"/>
      <c r="E3" s="256"/>
      <c r="F3" s="6"/>
      <c r="G3" s="7"/>
      <c r="H3" s="7"/>
      <c r="I3" s="7"/>
      <c r="J3" s="7"/>
      <c r="K3" s="7"/>
      <c r="L3" s="7"/>
    </row>
    <row r="4" spans="1:12" ht="15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ht="15.75">
      <c r="A5" s="257" t="s">
        <v>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5">
      <c r="A6" s="258" t="s">
        <v>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14" t="s">
        <v>0</v>
      </c>
      <c r="C9" s="10"/>
      <c r="D9" s="11"/>
      <c r="F9" s="14" t="s">
        <v>35</v>
      </c>
      <c r="G9" s="12"/>
      <c r="H9" s="12"/>
      <c r="I9" s="12"/>
      <c r="J9" s="12"/>
      <c r="K9" s="12"/>
      <c r="L9" s="12"/>
    </row>
    <row r="10" spans="1:13" ht="15">
      <c r="A10" s="20"/>
      <c r="B10" s="21" t="s">
        <v>1311</v>
      </c>
      <c r="C10" s="21" t="s">
        <v>29</v>
      </c>
      <c r="D10" s="22"/>
      <c r="E10" s="20"/>
      <c r="F10" s="23" t="s">
        <v>20</v>
      </c>
      <c r="G10" s="259" t="s">
        <v>1318</v>
      </c>
      <c r="H10" s="259"/>
      <c r="I10" s="259"/>
      <c r="J10" s="259"/>
      <c r="K10" s="259"/>
      <c r="L10" s="259"/>
      <c r="M10" s="50"/>
    </row>
    <row r="11" spans="1:13" ht="15">
      <c r="A11" s="20"/>
      <c r="B11" s="24" t="s">
        <v>10</v>
      </c>
      <c r="C11" s="25">
        <v>0.1</v>
      </c>
      <c r="D11" s="26"/>
      <c r="E11" s="20"/>
      <c r="F11" s="27" t="s">
        <v>21</v>
      </c>
      <c r="G11" s="248">
        <v>3</v>
      </c>
      <c r="H11" s="248"/>
      <c r="I11" s="248"/>
      <c r="J11" s="248"/>
      <c r="K11" s="248"/>
      <c r="L11" s="248"/>
      <c r="M11" s="50"/>
    </row>
    <row r="12" spans="1:13" ht="15">
      <c r="A12" s="20"/>
      <c r="B12" s="24" t="s">
        <v>11</v>
      </c>
      <c r="C12" s="25">
        <v>0.1</v>
      </c>
      <c r="D12" s="26"/>
      <c r="E12" s="20"/>
      <c r="F12" s="27" t="s">
        <v>27</v>
      </c>
      <c r="G12" s="248"/>
      <c r="H12" s="248"/>
      <c r="I12" s="248"/>
      <c r="J12" s="248"/>
      <c r="K12" s="248"/>
      <c r="L12" s="248"/>
      <c r="M12" s="50"/>
    </row>
    <row r="13" spans="1:13" ht="15">
      <c r="A13" s="20"/>
      <c r="B13" s="24" t="s">
        <v>12</v>
      </c>
      <c r="C13" s="25">
        <v>0.2</v>
      </c>
      <c r="D13" s="26"/>
      <c r="E13" s="20"/>
      <c r="F13" s="27" t="s">
        <v>22</v>
      </c>
      <c r="G13" s="248" t="s">
        <v>1319</v>
      </c>
      <c r="H13" s="248"/>
      <c r="I13" s="248"/>
      <c r="J13" s="248"/>
      <c r="K13" s="248"/>
      <c r="L13" s="248"/>
      <c r="M13" s="50"/>
    </row>
    <row r="14" spans="1:13" ht="15">
      <c r="A14" s="20"/>
      <c r="B14" s="24" t="s">
        <v>13</v>
      </c>
      <c r="C14" s="25">
        <v>0.6</v>
      </c>
      <c r="D14" s="26"/>
      <c r="E14" s="20"/>
      <c r="F14" s="27" t="s">
        <v>1321</v>
      </c>
      <c r="G14" s="262" t="s">
        <v>5</v>
      </c>
      <c r="H14" s="262"/>
      <c r="I14" s="262"/>
      <c r="J14" s="262"/>
      <c r="K14" s="262"/>
      <c r="L14" s="262"/>
      <c r="M14" s="262"/>
    </row>
    <row r="15" spans="1:13" ht="15">
      <c r="A15" s="20"/>
      <c r="B15" s="24" t="s">
        <v>14</v>
      </c>
      <c r="C15" s="25"/>
      <c r="D15" s="26"/>
      <c r="E15" s="20"/>
      <c r="F15" s="23" t="s">
        <v>26</v>
      </c>
      <c r="G15" s="248" t="s">
        <v>1320</v>
      </c>
      <c r="H15" s="248"/>
      <c r="I15" s="248"/>
      <c r="J15" s="248"/>
      <c r="K15" s="248"/>
      <c r="L15" s="248"/>
      <c r="M15" s="248"/>
    </row>
    <row r="16" spans="1:13" ht="15">
      <c r="A16" s="20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E16" s="20"/>
      <c r="F16" s="23" t="s">
        <v>24</v>
      </c>
      <c r="G16" s="35"/>
      <c r="H16" s="22"/>
      <c r="I16" s="22"/>
      <c r="J16" s="22"/>
      <c r="K16" s="22"/>
      <c r="L16" s="22"/>
      <c r="M16" s="50"/>
    </row>
    <row r="17" spans="2:12" ht="1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3" ht="15">
      <c r="A18" s="263" t="s">
        <v>17</v>
      </c>
      <c r="B18" s="265" t="s">
        <v>18</v>
      </c>
      <c r="C18" s="267" t="s">
        <v>8</v>
      </c>
      <c r="D18" s="268"/>
      <c r="E18" s="265" t="s">
        <v>9</v>
      </c>
      <c r="F18" s="271" t="s">
        <v>19</v>
      </c>
      <c r="G18" s="272" t="s">
        <v>1</v>
      </c>
      <c r="H18" s="272" t="s">
        <v>2</v>
      </c>
      <c r="I18" s="272" t="s">
        <v>3</v>
      </c>
      <c r="J18" s="272" t="s">
        <v>4</v>
      </c>
      <c r="K18" s="276"/>
      <c r="L18" s="271" t="s">
        <v>15</v>
      </c>
      <c r="M18" s="274" t="s">
        <v>1317</v>
      </c>
    </row>
    <row r="19" spans="1:13" ht="15">
      <c r="A19" s="264"/>
      <c r="B19" s="266"/>
      <c r="C19" s="269"/>
      <c r="D19" s="270"/>
      <c r="E19" s="266"/>
      <c r="F19" s="266"/>
      <c r="G19" s="273"/>
      <c r="H19" s="273"/>
      <c r="I19" s="273"/>
      <c r="J19" s="273"/>
      <c r="K19" s="277"/>
      <c r="L19" s="278"/>
      <c r="M19" s="275"/>
    </row>
    <row r="20" spans="1:13" ht="15">
      <c r="A20" s="36">
        <v>226</v>
      </c>
      <c r="B20" s="16" t="s">
        <v>1084</v>
      </c>
      <c r="C20" s="43" t="s">
        <v>219</v>
      </c>
      <c r="D20" s="44" t="s">
        <v>418</v>
      </c>
      <c r="E20" s="37" t="s">
        <v>696</v>
      </c>
      <c r="F20" s="38" t="s">
        <v>1301</v>
      </c>
      <c r="G20" s="39">
        <v>6</v>
      </c>
      <c r="H20" s="39">
        <v>8</v>
      </c>
      <c r="I20" s="39">
        <v>5.5</v>
      </c>
      <c r="J20" s="39">
        <v>7</v>
      </c>
      <c r="K20" s="39"/>
      <c r="L20" s="47">
        <f aca="true" t="shared" si="0" ref="L20:L50">ROUND(G20*$C$11+H20*$C$12+I20*$C$13+J20*$C$14+K20*$C$15,1)</f>
        <v>6.7</v>
      </c>
      <c r="M20" s="51" t="s">
        <v>855</v>
      </c>
    </row>
    <row r="21" spans="1:13" ht="15">
      <c r="A21" s="36">
        <v>227</v>
      </c>
      <c r="B21" s="16" t="s">
        <v>1085</v>
      </c>
      <c r="C21" s="43" t="s">
        <v>259</v>
      </c>
      <c r="D21" s="44" t="s">
        <v>260</v>
      </c>
      <c r="E21" s="37" t="s">
        <v>674</v>
      </c>
      <c r="F21" s="38" t="s">
        <v>1301</v>
      </c>
      <c r="G21" s="39"/>
      <c r="H21" s="39"/>
      <c r="I21" s="39"/>
      <c r="J21" s="39"/>
      <c r="K21" s="39"/>
      <c r="L21" s="47">
        <f t="shared" si="0"/>
        <v>0</v>
      </c>
      <c r="M21" s="51" t="s">
        <v>855</v>
      </c>
    </row>
    <row r="22" spans="1:13" ht="15">
      <c r="A22" s="36">
        <v>228</v>
      </c>
      <c r="B22" s="16" t="s">
        <v>1086</v>
      </c>
      <c r="C22" s="43" t="s">
        <v>266</v>
      </c>
      <c r="D22" s="44" t="s">
        <v>47</v>
      </c>
      <c r="E22" s="37" t="s">
        <v>692</v>
      </c>
      <c r="F22" s="38" t="s">
        <v>1301</v>
      </c>
      <c r="G22" s="39">
        <v>8</v>
      </c>
      <c r="H22" s="39">
        <v>9</v>
      </c>
      <c r="I22" s="39">
        <v>7.5</v>
      </c>
      <c r="J22" s="39">
        <v>7</v>
      </c>
      <c r="K22" s="39"/>
      <c r="L22" s="47">
        <f t="shared" si="0"/>
        <v>7.4</v>
      </c>
      <c r="M22" s="51" t="s">
        <v>855</v>
      </c>
    </row>
    <row r="23" spans="1:13" ht="15">
      <c r="A23" s="36">
        <v>229</v>
      </c>
      <c r="B23" s="16" t="s">
        <v>1087</v>
      </c>
      <c r="C23" s="43" t="s">
        <v>216</v>
      </c>
      <c r="D23" s="44" t="s">
        <v>241</v>
      </c>
      <c r="E23" s="37" t="s">
        <v>670</v>
      </c>
      <c r="F23" s="38" t="s">
        <v>1301</v>
      </c>
      <c r="G23" s="39">
        <v>6</v>
      </c>
      <c r="H23" s="39">
        <v>8</v>
      </c>
      <c r="I23" s="39">
        <v>4</v>
      </c>
      <c r="J23" s="39">
        <v>4</v>
      </c>
      <c r="K23" s="39"/>
      <c r="L23" s="47">
        <f t="shared" si="0"/>
        <v>4.6</v>
      </c>
      <c r="M23" s="51" t="s">
        <v>855</v>
      </c>
    </row>
    <row r="24" spans="1:13" ht="15">
      <c r="A24" s="36">
        <v>230</v>
      </c>
      <c r="B24" s="16" t="s">
        <v>1088</v>
      </c>
      <c r="C24" s="43" t="s">
        <v>350</v>
      </c>
      <c r="D24" s="44" t="s">
        <v>282</v>
      </c>
      <c r="E24" s="37" t="s">
        <v>842</v>
      </c>
      <c r="F24" s="38" t="s">
        <v>1301</v>
      </c>
      <c r="G24" s="39">
        <v>6</v>
      </c>
      <c r="H24" s="39">
        <v>8</v>
      </c>
      <c r="I24" s="39">
        <v>4</v>
      </c>
      <c r="J24" s="39">
        <v>8</v>
      </c>
      <c r="K24" s="39"/>
      <c r="L24" s="47">
        <f t="shared" si="0"/>
        <v>7</v>
      </c>
      <c r="M24" s="51" t="s">
        <v>855</v>
      </c>
    </row>
    <row r="25" spans="1:13" ht="15">
      <c r="A25" s="36">
        <v>231</v>
      </c>
      <c r="B25" s="16" t="s">
        <v>1089</v>
      </c>
      <c r="C25" s="43" t="s">
        <v>130</v>
      </c>
      <c r="D25" s="44" t="s">
        <v>53</v>
      </c>
      <c r="E25" s="37" t="s">
        <v>668</v>
      </c>
      <c r="F25" s="38" t="s">
        <v>1301</v>
      </c>
      <c r="G25" s="39">
        <v>7</v>
      </c>
      <c r="H25" s="39">
        <v>9</v>
      </c>
      <c r="I25" s="39">
        <v>7</v>
      </c>
      <c r="J25" s="39">
        <v>8</v>
      </c>
      <c r="K25" s="39"/>
      <c r="L25" s="47">
        <f t="shared" si="0"/>
        <v>7.8</v>
      </c>
      <c r="M25" s="51" t="s">
        <v>855</v>
      </c>
    </row>
    <row r="26" spans="1:13" ht="15">
      <c r="A26" s="36">
        <v>232</v>
      </c>
      <c r="B26" s="16" t="s">
        <v>1090</v>
      </c>
      <c r="C26" s="43" t="s">
        <v>340</v>
      </c>
      <c r="D26" s="44" t="s">
        <v>84</v>
      </c>
      <c r="E26" s="37" t="s">
        <v>821</v>
      </c>
      <c r="F26" s="38" t="s">
        <v>1301</v>
      </c>
      <c r="G26" s="39"/>
      <c r="H26" s="39"/>
      <c r="I26" s="39"/>
      <c r="J26" s="39"/>
      <c r="K26" s="39"/>
      <c r="L26" s="47">
        <f t="shared" si="0"/>
        <v>0</v>
      </c>
      <c r="M26" s="51" t="s">
        <v>855</v>
      </c>
    </row>
    <row r="27" spans="1:13" ht="15">
      <c r="A27" s="36">
        <v>233</v>
      </c>
      <c r="B27" s="16" t="s">
        <v>1091</v>
      </c>
      <c r="C27" s="43" t="s">
        <v>208</v>
      </c>
      <c r="D27" s="44" t="s">
        <v>54</v>
      </c>
      <c r="E27" s="37" t="s">
        <v>694</v>
      </c>
      <c r="F27" s="38" t="s">
        <v>1301</v>
      </c>
      <c r="G27" s="39">
        <v>8</v>
      </c>
      <c r="H27" s="39">
        <v>8</v>
      </c>
      <c r="I27" s="39">
        <v>7.5</v>
      </c>
      <c r="J27" s="39">
        <v>7</v>
      </c>
      <c r="K27" s="39"/>
      <c r="L27" s="47">
        <f t="shared" si="0"/>
        <v>7.3</v>
      </c>
      <c r="M27" s="51" t="s">
        <v>855</v>
      </c>
    </row>
    <row r="28" spans="1:13" ht="15">
      <c r="A28" s="36">
        <v>234</v>
      </c>
      <c r="B28" s="16" t="s">
        <v>1092</v>
      </c>
      <c r="C28" s="43" t="s">
        <v>267</v>
      </c>
      <c r="D28" s="44" t="s">
        <v>419</v>
      </c>
      <c r="E28" s="37" t="s">
        <v>697</v>
      </c>
      <c r="F28" s="38" t="s">
        <v>1301</v>
      </c>
      <c r="G28" s="39">
        <v>6</v>
      </c>
      <c r="H28" s="39">
        <v>8</v>
      </c>
      <c r="I28" s="39">
        <v>6</v>
      </c>
      <c r="J28" s="39">
        <v>6</v>
      </c>
      <c r="K28" s="39"/>
      <c r="L28" s="47">
        <f t="shared" si="0"/>
        <v>6.2</v>
      </c>
      <c r="M28" s="51" t="s">
        <v>855</v>
      </c>
    </row>
    <row r="29" spans="1:13" ht="15">
      <c r="A29" s="36">
        <v>235</v>
      </c>
      <c r="B29" s="16" t="s">
        <v>1093</v>
      </c>
      <c r="C29" s="43" t="s">
        <v>206</v>
      </c>
      <c r="D29" s="44" t="s">
        <v>57</v>
      </c>
      <c r="E29" s="37" t="s">
        <v>689</v>
      </c>
      <c r="F29" s="38" t="s">
        <v>1301</v>
      </c>
      <c r="G29" s="39">
        <v>6</v>
      </c>
      <c r="H29" s="39">
        <v>8</v>
      </c>
      <c r="I29" s="39">
        <v>6</v>
      </c>
      <c r="J29" s="39">
        <v>8</v>
      </c>
      <c r="K29" s="39"/>
      <c r="L29" s="47">
        <f t="shared" si="0"/>
        <v>7.4</v>
      </c>
      <c r="M29" s="51" t="s">
        <v>855</v>
      </c>
    </row>
    <row r="30" spans="1:13" ht="15">
      <c r="A30" s="36">
        <v>236</v>
      </c>
      <c r="B30" s="16" t="s">
        <v>1094</v>
      </c>
      <c r="C30" s="43" t="s">
        <v>412</v>
      </c>
      <c r="D30" s="44" t="s">
        <v>58</v>
      </c>
      <c r="E30" s="37" t="s">
        <v>669</v>
      </c>
      <c r="F30" s="38" t="s">
        <v>1301</v>
      </c>
      <c r="G30" s="39">
        <v>7</v>
      </c>
      <c r="H30" s="39">
        <v>8</v>
      </c>
      <c r="I30" s="39">
        <v>8</v>
      </c>
      <c r="J30" s="39">
        <v>6</v>
      </c>
      <c r="K30" s="39"/>
      <c r="L30" s="47">
        <f t="shared" si="0"/>
        <v>6.7</v>
      </c>
      <c r="M30" s="51" t="s">
        <v>855</v>
      </c>
    </row>
    <row r="31" spans="1:13" ht="15">
      <c r="A31" s="36">
        <v>237</v>
      </c>
      <c r="B31" s="16" t="s">
        <v>1095</v>
      </c>
      <c r="C31" s="43" t="s">
        <v>268</v>
      </c>
      <c r="D31" s="44" t="s">
        <v>89</v>
      </c>
      <c r="E31" s="37" t="s">
        <v>698</v>
      </c>
      <c r="F31" s="38" t="s">
        <v>1301</v>
      </c>
      <c r="G31" s="39">
        <v>6</v>
      </c>
      <c r="H31" s="39">
        <v>8</v>
      </c>
      <c r="I31" s="39">
        <v>3.5</v>
      </c>
      <c r="J31" s="39">
        <v>7</v>
      </c>
      <c r="K31" s="39"/>
      <c r="L31" s="47">
        <f t="shared" si="0"/>
        <v>6.3</v>
      </c>
      <c r="M31" s="51" t="s">
        <v>855</v>
      </c>
    </row>
    <row r="32" spans="1:13" ht="15">
      <c r="A32" s="36">
        <v>238</v>
      </c>
      <c r="B32" s="16" t="s">
        <v>1096</v>
      </c>
      <c r="C32" s="43" t="s">
        <v>450</v>
      </c>
      <c r="D32" s="44" t="s">
        <v>89</v>
      </c>
      <c r="E32" s="37" t="s">
        <v>818</v>
      </c>
      <c r="F32" s="38" t="s">
        <v>1301</v>
      </c>
      <c r="G32" s="39">
        <v>8</v>
      </c>
      <c r="H32" s="39">
        <v>9</v>
      </c>
      <c r="I32" s="39">
        <v>8</v>
      </c>
      <c r="J32" s="39">
        <v>7</v>
      </c>
      <c r="K32" s="39"/>
      <c r="L32" s="47">
        <f t="shared" si="0"/>
        <v>7.5</v>
      </c>
      <c r="M32" s="51" t="s">
        <v>855</v>
      </c>
    </row>
    <row r="33" spans="1:13" ht="15">
      <c r="A33" s="36">
        <v>239</v>
      </c>
      <c r="B33" s="16" t="s">
        <v>1097</v>
      </c>
      <c r="C33" s="43" t="s">
        <v>155</v>
      </c>
      <c r="D33" s="44" t="s">
        <v>89</v>
      </c>
      <c r="E33" s="37" t="s">
        <v>675</v>
      </c>
      <c r="F33" s="38" t="s">
        <v>1301</v>
      </c>
      <c r="G33" s="39"/>
      <c r="H33" s="39"/>
      <c r="I33" s="39"/>
      <c r="J33" s="39"/>
      <c r="K33" s="39"/>
      <c r="L33" s="47">
        <f t="shared" si="0"/>
        <v>0</v>
      </c>
      <c r="M33" s="51" t="s">
        <v>855</v>
      </c>
    </row>
    <row r="34" spans="1:13" ht="15">
      <c r="A34" s="36">
        <v>240</v>
      </c>
      <c r="B34" s="16" t="s">
        <v>1098</v>
      </c>
      <c r="C34" s="43" t="s">
        <v>83</v>
      </c>
      <c r="D34" s="44" t="s">
        <v>91</v>
      </c>
      <c r="E34" s="37" t="s">
        <v>680</v>
      </c>
      <c r="F34" s="38" t="s">
        <v>1301</v>
      </c>
      <c r="G34" s="39">
        <v>6</v>
      </c>
      <c r="H34" s="39">
        <v>9</v>
      </c>
      <c r="I34" s="39">
        <v>3.5</v>
      </c>
      <c r="J34" s="39">
        <v>7</v>
      </c>
      <c r="K34" s="39"/>
      <c r="L34" s="47">
        <f t="shared" si="0"/>
        <v>6.4</v>
      </c>
      <c r="M34" s="51" t="s">
        <v>855</v>
      </c>
    </row>
    <row r="35" spans="1:13" ht="15">
      <c r="A35" s="36">
        <v>241</v>
      </c>
      <c r="B35" s="16" t="s">
        <v>1099</v>
      </c>
      <c r="C35" s="43" t="s">
        <v>261</v>
      </c>
      <c r="D35" s="44" t="s">
        <v>92</v>
      </c>
      <c r="E35" s="37" t="s">
        <v>677</v>
      </c>
      <c r="F35" s="38" t="s">
        <v>1301</v>
      </c>
      <c r="G35" s="39">
        <v>6</v>
      </c>
      <c r="H35" s="39">
        <v>8</v>
      </c>
      <c r="I35" s="39">
        <v>6</v>
      </c>
      <c r="J35" s="39">
        <v>7</v>
      </c>
      <c r="K35" s="39"/>
      <c r="L35" s="47">
        <f t="shared" si="0"/>
        <v>6.8</v>
      </c>
      <c r="M35" s="51" t="s">
        <v>855</v>
      </c>
    </row>
    <row r="36" spans="1:13" ht="15">
      <c r="A36" s="36">
        <v>242</v>
      </c>
      <c r="B36" s="16" t="s">
        <v>1100</v>
      </c>
      <c r="C36" s="43" t="s">
        <v>262</v>
      </c>
      <c r="D36" s="44" t="s">
        <v>116</v>
      </c>
      <c r="E36" s="37" t="s">
        <v>678</v>
      </c>
      <c r="F36" s="38" t="s">
        <v>1301</v>
      </c>
      <c r="G36" s="39">
        <v>6</v>
      </c>
      <c r="H36" s="39">
        <v>8</v>
      </c>
      <c r="I36" s="39">
        <v>3</v>
      </c>
      <c r="J36" s="39">
        <v>6</v>
      </c>
      <c r="K36" s="39"/>
      <c r="L36" s="47">
        <f t="shared" si="0"/>
        <v>5.6</v>
      </c>
      <c r="M36" s="51" t="s">
        <v>855</v>
      </c>
    </row>
    <row r="37" spans="1:13" ht="15">
      <c r="A37" s="36">
        <v>243</v>
      </c>
      <c r="B37" s="16" t="s">
        <v>1101</v>
      </c>
      <c r="C37" s="43" t="s">
        <v>262</v>
      </c>
      <c r="D37" s="44" t="s">
        <v>116</v>
      </c>
      <c r="E37" s="37" t="s">
        <v>817</v>
      </c>
      <c r="F37" s="38" t="s">
        <v>1301</v>
      </c>
      <c r="G37" s="39">
        <v>7</v>
      </c>
      <c r="H37" s="39">
        <v>9</v>
      </c>
      <c r="I37" s="39">
        <v>7</v>
      </c>
      <c r="J37" s="39">
        <v>9</v>
      </c>
      <c r="K37" s="39"/>
      <c r="L37" s="47">
        <f t="shared" si="0"/>
        <v>8.4</v>
      </c>
      <c r="M37" s="51" t="s">
        <v>855</v>
      </c>
    </row>
    <row r="38" spans="1:13" ht="15">
      <c r="A38" s="36">
        <v>244</v>
      </c>
      <c r="B38" s="16" t="s">
        <v>1102</v>
      </c>
      <c r="C38" s="43" t="s">
        <v>414</v>
      </c>
      <c r="D38" s="44" t="s">
        <v>116</v>
      </c>
      <c r="E38" s="37" t="s">
        <v>681</v>
      </c>
      <c r="F38" s="38" t="s">
        <v>1301</v>
      </c>
      <c r="G38" s="39">
        <v>6</v>
      </c>
      <c r="H38" s="39">
        <v>8</v>
      </c>
      <c r="I38" s="39">
        <v>3.5</v>
      </c>
      <c r="J38" s="39">
        <v>4</v>
      </c>
      <c r="K38" s="39"/>
      <c r="L38" s="47">
        <f t="shared" si="0"/>
        <v>4.5</v>
      </c>
      <c r="M38" s="51" t="s">
        <v>855</v>
      </c>
    </row>
    <row r="39" spans="1:13" ht="15">
      <c r="A39" s="36">
        <v>245</v>
      </c>
      <c r="B39" s="16" t="s">
        <v>1103</v>
      </c>
      <c r="C39" s="43" t="s">
        <v>413</v>
      </c>
      <c r="D39" s="44" t="s">
        <v>132</v>
      </c>
      <c r="E39" s="37" t="s">
        <v>676</v>
      </c>
      <c r="F39" s="38" t="s">
        <v>1301</v>
      </c>
      <c r="G39" s="39">
        <v>7</v>
      </c>
      <c r="H39" s="39">
        <v>7</v>
      </c>
      <c r="I39" s="39">
        <v>6.5</v>
      </c>
      <c r="J39" s="39">
        <v>7</v>
      </c>
      <c r="K39" s="39"/>
      <c r="L39" s="47">
        <f t="shared" si="0"/>
        <v>6.9</v>
      </c>
      <c r="M39" s="51" t="s">
        <v>855</v>
      </c>
    </row>
    <row r="40" spans="1:13" ht="15">
      <c r="A40" s="36">
        <v>246</v>
      </c>
      <c r="B40" s="16" t="s">
        <v>1104</v>
      </c>
      <c r="C40" s="43" t="s">
        <v>42</v>
      </c>
      <c r="D40" s="44" t="s">
        <v>62</v>
      </c>
      <c r="E40" s="37" t="s">
        <v>682</v>
      </c>
      <c r="F40" s="38" t="s">
        <v>1301</v>
      </c>
      <c r="G40" s="39">
        <v>7</v>
      </c>
      <c r="H40" s="39">
        <v>8</v>
      </c>
      <c r="I40" s="39">
        <v>7</v>
      </c>
      <c r="J40" s="39">
        <v>8</v>
      </c>
      <c r="K40" s="39"/>
      <c r="L40" s="47">
        <f t="shared" si="0"/>
        <v>7.7</v>
      </c>
      <c r="M40" s="51" t="s">
        <v>855</v>
      </c>
    </row>
    <row r="41" spans="1:13" ht="15">
      <c r="A41" s="36">
        <v>247</v>
      </c>
      <c r="B41" s="16" t="s">
        <v>1105</v>
      </c>
      <c r="C41" s="43" t="s">
        <v>254</v>
      </c>
      <c r="D41" s="44" t="s">
        <v>110</v>
      </c>
      <c r="E41" s="37" t="s">
        <v>683</v>
      </c>
      <c r="F41" s="38" t="s">
        <v>1301</v>
      </c>
      <c r="G41" s="39">
        <v>6</v>
      </c>
      <c r="H41" s="39">
        <v>8</v>
      </c>
      <c r="I41" s="39">
        <v>6</v>
      </c>
      <c r="J41" s="39">
        <v>8</v>
      </c>
      <c r="K41" s="39"/>
      <c r="L41" s="47">
        <f t="shared" si="0"/>
        <v>7.4</v>
      </c>
      <c r="M41" s="51" t="s">
        <v>855</v>
      </c>
    </row>
    <row r="42" spans="1:13" ht="15">
      <c r="A42" s="36">
        <v>248</v>
      </c>
      <c r="B42" s="16" t="s">
        <v>1106</v>
      </c>
      <c r="C42" s="43" t="s">
        <v>269</v>
      </c>
      <c r="D42" s="44" t="s">
        <v>110</v>
      </c>
      <c r="E42" s="37" t="s">
        <v>699</v>
      </c>
      <c r="F42" s="38" t="s">
        <v>1301</v>
      </c>
      <c r="G42" s="39">
        <v>6</v>
      </c>
      <c r="H42" s="39">
        <v>7</v>
      </c>
      <c r="I42" s="39">
        <v>6</v>
      </c>
      <c r="J42" s="39">
        <v>8</v>
      </c>
      <c r="K42" s="39"/>
      <c r="L42" s="47">
        <f t="shared" si="0"/>
        <v>7.3</v>
      </c>
      <c r="M42" s="51" t="s">
        <v>855</v>
      </c>
    </row>
    <row r="43" spans="1:13" ht="15">
      <c r="A43" s="36">
        <v>249</v>
      </c>
      <c r="B43" s="16" t="s">
        <v>1107</v>
      </c>
      <c r="C43" s="43" t="s">
        <v>344</v>
      </c>
      <c r="D43" s="44" t="s">
        <v>65</v>
      </c>
      <c r="E43" s="37" t="s">
        <v>843</v>
      </c>
      <c r="F43" s="38" t="s">
        <v>1301</v>
      </c>
      <c r="G43" s="39">
        <v>6</v>
      </c>
      <c r="H43" s="39">
        <v>7</v>
      </c>
      <c r="I43" s="39">
        <v>3</v>
      </c>
      <c r="J43" s="39">
        <v>8</v>
      </c>
      <c r="K43" s="39"/>
      <c r="L43" s="47">
        <f t="shared" si="0"/>
        <v>6.7</v>
      </c>
      <c r="M43" s="51" t="s">
        <v>855</v>
      </c>
    </row>
    <row r="44" spans="1:13" ht="15">
      <c r="A44" s="36">
        <v>250</v>
      </c>
      <c r="B44" s="16" t="s">
        <v>1108</v>
      </c>
      <c r="C44" s="43" t="s">
        <v>264</v>
      </c>
      <c r="D44" s="44" t="s">
        <v>65</v>
      </c>
      <c r="E44" s="37" t="s">
        <v>466</v>
      </c>
      <c r="F44" s="38" t="s">
        <v>1301</v>
      </c>
      <c r="G44" s="39">
        <v>6</v>
      </c>
      <c r="H44" s="39">
        <v>7</v>
      </c>
      <c r="I44" s="39">
        <v>4</v>
      </c>
      <c r="J44" s="39">
        <v>7</v>
      </c>
      <c r="K44" s="39"/>
      <c r="L44" s="47">
        <f t="shared" si="0"/>
        <v>6.3</v>
      </c>
      <c r="M44" s="51" t="s">
        <v>855</v>
      </c>
    </row>
    <row r="45" spans="1:13" ht="15">
      <c r="A45" s="36">
        <v>251</v>
      </c>
      <c r="B45" s="16" t="s">
        <v>1109</v>
      </c>
      <c r="C45" s="43" t="s">
        <v>208</v>
      </c>
      <c r="D45" s="44" t="s">
        <v>65</v>
      </c>
      <c r="E45" s="37" t="s">
        <v>690</v>
      </c>
      <c r="F45" s="38" t="s">
        <v>1301</v>
      </c>
      <c r="G45" s="39">
        <v>6</v>
      </c>
      <c r="H45" s="39">
        <v>7</v>
      </c>
      <c r="I45" s="39">
        <v>5</v>
      </c>
      <c r="J45" s="39">
        <v>6</v>
      </c>
      <c r="K45" s="39"/>
      <c r="L45" s="47">
        <f t="shared" si="0"/>
        <v>5.9</v>
      </c>
      <c r="M45" s="51" t="s">
        <v>855</v>
      </c>
    </row>
    <row r="46" spans="1:13" ht="15">
      <c r="A46" s="36">
        <v>252</v>
      </c>
      <c r="B46" s="16" t="s">
        <v>1110</v>
      </c>
      <c r="C46" s="43" t="s">
        <v>130</v>
      </c>
      <c r="D46" s="44" t="s">
        <v>146</v>
      </c>
      <c r="E46" s="37" t="s">
        <v>693</v>
      </c>
      <c r="F46" s="38" t="s">
        <v>1301</v>
      </c>
      <c r="G46" s="39"/>
      <c r="H46" s="39"/>
      <c r="I46" s="39"/>
      <c r="J46" s="39"/>
      <c r="K46" s="39"/>
      <c r="L46" s="47">
        <f t="shared" si="0"/>
        <v>0</v>
      </c>
      <c r="M46" s="51" t="s">
        <v>855</v>
      </c>
    </row>
    <row r="47" spans="1:13" ht="15">
      <c r="A47" s="36">
        <v>253</v>
      </c>
      <c r="B47" s="16" t="s">
        <v>1111</v>
      </c>
      <c r="C47" s="43" t="s">
        <v>52</v>
      </c>
      <c r="D47" s="44" t="s">
        <v>115</v>
      </c>
      <c r="E47" s="37" t="s">
        <v>794</v>
      </c>
      <c r="F47" s="38" t="s">
        <v>1301</v>
      </c>
      <c r="G47" s="39">
        <v>7</v>
      </c>
      <c r="H47" s="39">
        <v>8</v>
      </c>
      <c r="I47" s="39">
        <v>7</v>
      </c>
      <c r="J47" s="39">
        <v>7</v>
      </c>
      <c r="K47" s="39"/>
      <c r="L47" s="47">
        <f t="shared" si="0"/>
        <v>7.1</v>
      </c>
      <c r="M47" s="51" t="s">
        <v>855</v>
      </c>
    </row>
    <row r="48" spans="1:13" ht="15">
      <c r="A48" s="36">
        <v>254</v>
      </c>
      <c r="B48" s="16" t="s">
        <v>1112</v>
      </c>
      <c r="C48" s="43" t="s">
        <v>353</v>
      </c>
      <c r="D48" s="44" t="s">
        <v>354</v>
      </c>
      <c r="E48" s="37" t="s">
        <v>608</v>
      </c>
      <c r="F48" s="38" t="s">
        <v>1301</v>
      </c>
      <c r="G48" s="39">
        <v>6</v>
      </c>
      <c r="H48" s="39">
        <v>5</v>
      </c>
      <c r="I48" s="39">
        <v>4</v>
      </c>
      <c r="J48" s="39">
        <v>7</v>
      </c>
      <c r="K48" s="39"/>
      <c r="L48" s="47">
        <f t="shared" si="0"/>
        <v>6.1</v>
      </c>
      <c r="M48" s="51" t="s">
        <v>855</v>
      </c>
    </row>
    <row r="49" spans="1:13" ht="15">
      <c r="A49" s="36">
        <v>255</v>
      </c>
      <c r="B49" s="16" t="s">
        <v>1113</v>
      </c>
      <c r="C49" s="43" t="s">
        <v>42</v>
      </c>
      <c r="D49" s="44" t="s">
        <v>406</v>
      </c>
      <c r="E49" s="37" t="s">
        <v>691</v>
      </c>
      <c r="F49" s="38" t="s">
        <v>1301</v>
      </c>
      <c r="G49" s="39">
        <v>6</v>
      </c>
      <c r="H49" s="39">
        <v>8</v>
      </c>
      <c r="I49" s="39">
        <v>6</v>
      </c>
      <c r="J49" s="39">
        <v>8</v>
      </c>
      <c r="K49" s="39"/>
      <c r="L49" s="47">
        <f t="shared" si="0"/>
        <v>7.4</v>
      </c>
      <c r="M49" s="51" t="s">
        <v>855</v>
      </c>
    </row>
    <row r="50" spans="1:13" ht="15">
      <c r="A50" s="36">
        <v>256</v>
      </c>
      <c r="B50" s="16" t="s">
        <v>1114</v>
      </c>
      <c r="C50" s="43" t="s">
        <v>214</v>
      </c>
      <c r="D50" s="44" t="s">
        <v>406</v>
      </c>
      <c r="E50" s="37" t="s">
        <v>684</v>
      </c>
      <c r="F50" s="38" t="s">
        <v>1301</v>
      </c>
      <c r="G50" s="39">
        <v>8</v>
      </c>
      <c r="H50" s="39">
        <v>7</v>
      </c>
      <c r="I50" s="39">
        <v>8</v>
      </c>
      <c r="J50" s="39">
        <v>7</v>
      </c>
      <c r="K50" s="39"/>
      <c r="L50" s="47">
        <f t="shared" si="0"/>
        <v>7.3</v>
      </c>
      <c r="M50" s="51" t="s">
        <v>855</v>
      </c>
    </row>
    <row r="51" spans="1:13" ht="15">
      <c r="A51" s="36">
        <v>257</v>
      </c>
      <c r="B51" s="34" t="s">
        <v>1115</v>
      </c>
      <c r="C51" s="45" t="s">
        <v>41</v>
      </c>
      <c r="D51" s="46" t="s">
        <v>218</v>
      </c>
      <c r="E51" s="40" t="s">
        <v>672</v>
      </c>
      <c r="F51" s="41" t="s">
        <v>1301</v>
      </c>
      <c r="G51" s="42"/>
      <c r="H51" s="42">
        <v>8</v>
      </c>
      <c r="I51" s="42">
        <v>7</v>
      </c>
      <c r="J51" s="42">
        <v>4</v>
      </c>
      <c r="K51" s="42"/>
      <c r="L51" s="48">
        <f aca="true" t="shared" si="1" ref="L51:L66">ROUND(G51*$C$11+H51*$C$12+I51*$C$13+J51*$C$14+K51*$C$15,1)</f>
        <v>4.6</v>
      </c>
      <c r="M51" s="52" t="s">
        <v>855</v>
      </c>
    </row>
    <row r="52" spans="1:13" ht="15">
      <c r="A52" s="36">
        <v>258</v>
      </c>
      <c r="B52" s="16" t="s">
        <v>1116</v>
      </c>
      <c r="C52" s="43" t="s">
        <v>41</v>
      </c>
      <c r="D52" s="44" t="s">
        <v>339</v>
      </c>
      <c r="E52" s="37" t="s">
        <v>820</v>
      </c>
      <c r="F52" s="38" t="s">
        <v>1301</v>
      </c>
      <c r="G52" s="39">
        <v>6</v>
      </c>
      <c r="H52" s="39">
        <v>7</v>
      </c>
      <c r="I52" s="39">
        <v>6</v>
      </c>
      <c r="J52" s="39">
        <v>3</v>
      </c>
      <c r="K52" s="39"/>
      <c r="L52" s="47">
        <f t="shared" si="1"/>
        <v>4.3</v>
      </c>
      <c r="M52" s="51" t="s">
        <v>855</v>
      </c>
    </row>
    <row r="53" spans="1:13" ht="15">
      <c r="A53" s="36">
        <v>259</v>
      </c>
      <c r="B53" s="16" t="s">
        <v>1117</v>
      </c>
      <c r="C53" s="43" t="s">
        <v>415</v>
      </c>
      <c r="D53" s="44" t="s">
        <v>67</v>
      </c>
      <c r="E53" s="37" t="s">
        <v>685</v>
      </c>
      <c r="F53" s="38" t="s">
        <v>1301</v>
      </c>
      <c r="G53" s="39">
        <v>9</v>
      </c>
      <c r="H53" s="39">
        <v>7</v>
      </c>
      <c r="I53" s="39">
        <v>9</v>
      </c>
      <c r="J53" s="39">
        <v>7</v>
      </c>
      <c r="K53" s="39"/>
      <c r="L53" s="47">
        <f t="shared" si="1"/>
        <v>7.6</v>
      </c>
      <c r="M53" s="51" t="s">
        <v>855</v>
      </c>
    </row>
    <row r="54" spans="1:13" ht="15">
      <c r="A54" s="36">
        <v>260</v>
      </c>
      <c r="B54" s="16" t="s">
        <v>1118</v>
      </c>
      <c r="C54" s="43" t="s">
        <v>263</v>
      </c>
      <c r="D54" s="44" t="s">
        <v>67</v>
      </c>
      <c r="E54" s="37" t="s">
        <v>679</v>
      </c>
      <c r="F54" s="38" t="s">
        <v>1301</v>
      </c>
      <c r="G54" s="39">
        <v>7</v>
      </c>
      <c r="H54" s="39">
        <v>7</v>
      </c>
      <c r="I54" s="39">
        <v>7</v>
      </c>
      <c r="J54" s="39">
        <v>6</v>
      </c>
      <c r="K54" s="39"/>
      <c r="L54" s="47">
        <f t="shared" si="1"/>
        <v>6.4</v>
      </c>
      <c r="M54" s="51" t="s">
        <v>855</v>
      </c>
    </row>
    <row r="55" spans="1:13" ht="15">
      <c r="A55" s="36">
        <v>261</v>
      </c>
      <c r="B55" s="16" t="s">
        <v>1119</v>
      </c>
      <c r="C55" s="43" t="s">
        <v>317</v>
      </c>
      <c r="D55" s="44" t="s">
        <v>68</v>
      </c>
      <c r="E55" s="37" t="s">
        <v>779</v>
      </c>
      <c r="F55" s="38" t="s">
        <v>1301</v>
      </c>
      <c r="G55" s="39">
        <v>6</v>
      </c>
      <c r="H55" s="39">
        <v>5</v>
      </c>
      <c r="I55" s="39">
        <v>6</v>
      </c>
      <c r="J55" s="39">
        <v>6</v>
      </c>
      <c r="K55" s="39"/>
      <c r="L55" s="47">
        <f t="shared" si="1"/>
        <v>5.9</v>
      </c>
      <c r="M55" s="51" t="s">
        <v>855</v>
      </c>
    </row>
    <row r="56" spans="1:13" ht="15">
      <c r="A56" s="36">
        <v>262</v>
      </c>
      <c r="B56" s="16" t="s">
        <v>1120</v>
      </c>
      <c r="C56" s="43" t="s">
        <v>338</v>
      </c>
      <c r="D56" s="44" t="s">
        <v>119</v>
      </c>
      <c r="E56" s="37" t="s">
        <v>819</v>
      </c>
      <c r="F56" s="38" t="s">
        <v>1301</v>
      </c>
      <c r="G56" s="39">
        <v>6</v>
      </c>
      <c r="H56" s="39">
        <v>8</v>
      </c>
      <c r="I56" s="39">
        <v>6</v>
      </c>
      <c r="J56" s="39">
        <v>6</v>
      </c>
      <c r="K56" s="39"/>
      <c r="L56" s="47">
        <f t="shared" si="1"/>
        <v>6.2</v>
      </c>
      <c r="M56" s="51" t="s">
        <v>855</v>
      </c>
    </row>
    <row r="57" spans="1:13" ht="15">
      <c r="A57" s="36">
        <v>263</v>
      </c>
      <c r="B57" s="16" t="s">
        <v>1121</v>
      </c>
      <c r="C57" s="43" t="s">
        <v>69</v>
      </c>
      <c r="D57" s="44" t="s">
        <v>119</v>
      </c>
      <c r="E57" s="37" t="s">
        <v>686</v>
      </c>
      <c r="F57" s="38" t="s">
        <v>1301</v>
      </c>
      <c r="G57" s="39"/>
      <c r="H57" s="39"/>
      <c r="I57" s="39"/>
      <c r="J57" s="39"/>
      <c r="K57" s="39"/>
      <c r="L57" s="47">
        <f t="shared" si="1"/>
        <v>0</v>
      </c>
      <c r="M57" s="51" t="s">
        <v>855</v>
      </c>
    </row>
    <row r="58" spans="1:13" ht="15">
      <c r="A58" s="36">
        <v>264</v>
      </c>
      <c r="B58" s="16" t="s">
        <v>1122</v>
      </c>
      <c r="C58" s="43" t="s">
        <v>229</v>
      </c>
      <c r="D58" s="44" t="s">
        <v>137</v>
      </c>
      <c r="E58" s="37" t="s">
        <v>687</v>
      </c>
      <c r="F58" s="38" t="s">
        <v>1301</v>
      </c>
      <c r="G58" s="39">
        <v>7</v>
      </c>
      <c r="H58" s="39">
        <v>8</v>
      </c>
      <c r="I58" s="39">
        <v>6.5</v>
      </c>
      <c r="J58" s="39">
        <v>8</v>
      </c>
      <c r="K58" s="39"/>
      <c r="L58" s="47">
        <f t="shared" si="1"/>
        <v>7.6</v>
      </c>
      <c r="M58" s="51" t="s">
        <v>855</v>
      </c>
    </row>
    <row r="59" spans="1:13" ht="15">
      <c r="A59" s="36">
        <v>265</v>
      </c>
      <c r="B59" s="16" t="s">
        <v>1123</v>
      </c>
      <c r="C59" s="43" t="s">
        <v>455</v>
      </c>
      <c r="D59" s="44" t="s">
        <v>102</v>
      </c>
      <c r="E59" s="37" t="s">
        <v>844</v>
      </c>
      <c r="F59" s="38" t="s">
        <v>1301</v>
      </c>
      <c r="G59" s="39">
        <v>6</v>
      </c>
      <c r="H59" s="39">
        <v>6</v>
      </c>
      <c r="I59" s="39">
        <v>3</v>
      </c>
      <c r="J59" s="39">
        <v>6</v>
      </c>
      <c r="K59" s="39"/>
      <c r="L59" s="47">
        <f t="shared" si="1"/>
        <v>5.4</v>
      </c>
      <c r="M59" s="51" t="s">
        <v>855</v>
      </c>
    </row>
    <row r="60" spans="1:13" ht="15">
      <c r="A60" s="36">
        <v>266</v>
      </c>
      <c r="B60" s="16" t="s">
        <v>1124</v>
      </c>
      <c r="C60" s="43" t="s">
        <v>257</v>
      </c>
      <c r="D60" s="44" t="s">
        <v>104</v>
      </c>
      <c r="E60" s="37" t="s">
        <v>671</v>
      </c>
      <c r="F60" s="38" t="s">
        <v>1301</v>
      </c>
      <c r="G60" s="39">
        <v>6</v>
      </c>
      <c r="H60" s="39">
        <v>7</v>
      </c>
      <c r="I60" s="39">
        <v>3.5</v>
      </c>
      <c r="J60" s="39">
        <v>6</v>
      </c>
      <c r="K60" s="39"/>
      <c r="L60" s="47">
        <f t="shared" si="1"/>
        <v>5.6</v>
      </c>
      <c r="M60" s="51" t="s">
        <v>855</v>
      </c>
    </row>
    <row r="61" spans="1:13" ht="15">
      <c r="A61" s="36">
        <v>267</v>
      </c>
      <c r="B61" s="16" t="s">
        <v>1125</v>
      </c>
      <c r="C61" s="43" t="s">
        <v>270</v>
      </c>
      <c r="D61" s="44" t="s">
        <v>72</v>
      </c>
      <c r="E61" s="37" t="s">
        <v>700</v>
      </c>
      <c r="F61" s="38" t="s">
        <v>1301</v>
      </c>
      <c r="G61" s="39">
        <v>6</v>
      </c>
      <c r="H61" s="39">
        <v>6</v>
      </c>
      <c r="I61" s="39">
        <v>6</v>
      </c>
      <c r="J61" s="39">
        <v>8</v>
      </c>
      <c r="K61" s="39"/>
      <c r="L61" s="47">
        <f t="shared" si="1"/>
        <v>7.2</v>
      </c>
      <c r="M61" s="51" t="s">
        <v>855</v>
      </c>
    </row>
    <row r="62" spans="1:13" ht="15">
      <c r="A62" s="36">
        <v>268</v>
      </c>
      <c r="B62" s="16" t="s">
        <v>1126</v>
      </c>
      <c r="C62" s="43" t="s">
        <v>416</v>
      </c>
      <c r="D62" s="44" t="s">
        <v>417</v>
      </c>
      <c r="E62" s="37" t="s">
        <v>695</v>
      </c>
      <c r="F62" s="38" t="s">
        <v>1301</v>
      </c>
      <c r="G62" s="39">
        <v>8</v>
      </c>
      <c r="H62" s="39">
        <v>5</v>
      </c>
      <c r="I62" s="39">
        <v>7.5</v>
      </c>
      <c r="J62" s="39">
        <v>9</v>
      </c>
      <c r="K62" s="39"/>
      <c r="L62" s="47">
        <f t="shared" si="1"/>
        <v>8.2</v>
      </c>
      <c r="M62" s="51" t="s">
        <v>855</v>
      </c>
    </row>
    <row r="63" spans="1:13" ht="15">
      <c r="A63" s="36">
        <v>269</v>
      </c>
      <c r="B63" s="16" t="s">
        <v>1127</v>
      </c>
      <c r="C63" s="43" t="s">
        <v>258</v>
      </c>
      <c r="D63" s="44" t="s">
        <v>408</v>
      </c>
      <c r="E63" s="37" t="s">
        <v>673</v>
      </c>
      <c r="F63" s="38" t="s">
        <v>1301</v>
      </c>
      <c r="G63" s="39"/>
      <c r="H63" s="39"/>
      <c r="I63" s="39"/>
      <c r="J63" s="39"/>
      <c r="K63" s="39"/>
      <c r="L63" s="47">
        <f t="shared" si="1"/>
        <v>0</v>
      </c>
      <c r="M63" s="51" t="s">
        <v>855</v>
      </c>
    </row>
    <row r="64" spans="1:13" ht="15">
      <c r="A64" s="36">
        <v>270</v>
      </c>
      <c r="B64" s="16" t="s">
        <v>1128</v>
      </c>
      <c r="C64" s="43" t="s">
        <v>147</v>
      </c>
      <c r="D64" s="44" t="s">
        <v>105</v>
      </c>
      <c r="E64" s="37" t="s">
        <v>499</v>
      </c>
      <c r="F64" s="38" t="s">
        <v>1301</v>
      </c>
      <c r="G64" s="39">
        <v>8</v>
      </c>
      <c r="H64" s="39">
        <v>8</v>
      </c>
      <c r="I64" s="39">
        <v>7.5</v>
      </c>
      <c r="J64" s="39">
        <v>7</v>
      </c>
      <c r="K64" s="39"/>
      <c r="L64" s="47">
        <f t="shared" si="1"/>
        <v>7.3</v>
      </c>
      <c r="M64" s="51" t="s">
        <v>855</v>
      </c>
    </row>
    <row r="65" spans="1:13" ht="15">
      <c r="A65" s="36">
        <v>271</v>
      </c>
      <c r="B65" s="16" t="s">
        <v>1129</v>
      </c>
      <c r="C65" s="43" t="s">
        <v>265</v>
      </c>
      <c r="D65" s="44" t="s">
        <v>105</v>
      </c>
      <c r="E65" s="37" t="s">
        <v>688</v>
      </c>
      <c r="F65" s="38" t="s">
        <v>1301</v>
      </c>
      <c r="G65" s="39">
        <v>6</v>
      </c>
      <c r="H65" s="39">
        <v>4</v>
      </c>
      <c r="I65" s="39">
        <v>5</v>
      </c>
      <c r="J65" s="39">
        <v>7</v>
      </c>
      <c r="K65" s="39"/>
      <c r="L65" s="47">
        <f t="shared" si="1"/>
        <v>6.2</v>
      </c>
      <c r="M65" s="51" t="s">
        <v>855</v>
      </c>
    </row>
    <row r="66" spans="1:13" ht="15">
      <c r="A66" s="36">
        <v>272</v>
      </c>
      <c r="B66" s="16" t="s">
        <v>1130</v>
      </c>
      <c r="C66" s="43" t="s">
        <v>351</v>
      </c>
      <c r="D66" s="44" t="s">
        <v>352</v>
      </c>
      <c r="E66" s="37" t="s">
        <v>731</v>
      </c>
      <c r="F66" s="38" t="s">
        <v>1301</v>
      </c>
      <c r="G66" s="39">
        <v>6</v>
      </c>
      <c r="H66" s="39">
        <v>8</v>
      </c>
      <c r="I66" s="39">
        <v>3.5</v>
      </c>
      <c r="J66" s="39">
        <v>8</v>
      </c>
      <c r="K66" s="39"/>
      <c r="L66" s="47">
        <f t="shared" si="1"/>
        <v>6.9</v>
      </c>
      <c r="M66" s="51" t="s">
        <v>855</v>
      </c>
    </row>
  </sheetData>
  <sheetProtection/>
  <mergeCells count="23">
    <mergeCell ref="G18:G19"/>
    <mergeCell ref="H18:H19"/>
    <mergeCell ref="M18:M19"/>
    <mergeCell ref="I18:I19"/>
    <mergeCell ref="J18:J19"/>
    <mergeCell ref="K18:K19"/>
    <mergeCell ref="L18:L19"/>
    <mergeCell ref="G11:L11"/>
    <mergeCell ref="G12:L12"/>
    <mergeCell ref="G13:L13"/>
    <mergeCell ref="G14:M14"/>
    <mergeCell ref="G15:M15"/>
    <mergeCell ref="A18:A19"/>
    <mergeCell ref="B18:B19"/>
    <mergeCell ref="C18:D19"/>
    <mergeCell ref="E18:E19"/>
    <mergeCell ref="F18:F19"/>
    <mergeCell ref="A1:E1"/>
    <mergeCell ref="A2:E2"/>
    <mergeCell ref="A3:E3"/>
    <mergeCell ref="A5:L5"/>
    <mergeCell ref="A6:L6"/>
    <mergeCell ref="G10:L10"/>
  </mergeCells>
  <dataValidations count="4"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sqref="B18:E19">
      <formula1>11111</formula1>
      <formula2>111111</formula2>
    </dataValidation>
    <dataValidation type="whole" allowBlank="1" showInputMessage="1" showErrorMessage="1" errorTitle="Lưu ý" error="Không sửa chữa khu vực này. Thanks" sqref="L18:L66">
      <formula1>111111</formula1>
      <formula2>222222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4"/>
  <sheetViews>
    <sheetView view="pageBreakPreview" zoomScale="90" zoomScaleSheetLayoutView="90" zoomScalePageLayoutView="0" workbookViewId="0" topLeftCell="A15">
      <selection activeCell="G20" sqref="G20"/>
    </sheetView>
  </sheetViews>
  <sheetFormatPr defaultColWidth="8.796875" defaultRowHeight="15" customHeight="1"/>
  <cols>
    <col min="1" max="1" width="3.5" style="3" customWidth="1"/>
    <col min="2" max="2" width="8.19921875" style="1" customWidth="1"/>
    <col min="3" max="3" width="15.59765625" style="3" customWidth="1"/>
    <col min="4" max="4" width="7.19921875" style="1" customWidth="1"/>
    <col min="5" max="5" width="8.5" style="1" customWidth="1"/>
    <col min="6" max="6" width="14.5" style="80" customWidth="1"/>
    <col min="7" max="7" width="7" style="3" customWidth="1"/>
    <col min="8" max="8" width="6.59765625" style="62" customWidth="1"/>
    <col min="9" max="9" width="5.8984375" style="3" customWidth="1"/>
    <col min="10" max="10" width="8.8984375" style="3" customWidth="1"/>
    <col min="11" max="11" width="1.390625" style="3" customWidth="1"/>
    <col min="12" max="12" width="7" style="70" customWidth="1"/>
    <col min="13" max="13" width="15.8984375" style="77" customWidth="1"/>
    <col min="14" max="18" width="9" style="85" customWidth="1"/>
    <col min="19" max="16384" width="9" style="1" customWidth="1"/>
  </cols>
  <sheetData>
    <row r="1" spans="1:11" ht="15" customHeight="1">
      <c r="A1" s="260" t="s">
        <v>30</v>
      </c>
      <c r="B1" s="260"/>
      <c r="C1" s="260"/>
      <c r="D1" s="260"/>
      <c r="E1" s="53"/>
      <c r="G1" s="53"/>
      <c r="H1" s="58"/>
      <c r="I1" s="53"/>
      <c r="J1" s="53"/>
      <c r="K1" s="53"/>
    </row>
    <row r="2" spans="1:12" ht="15" customHeight="1">
      <c r="A2" s="256" t="s">
        <v>31</v>
      </c>
      <c r="B2" s="256"/>
      <c r="C2" s="256"/>
      <c r="D2" s="256"/>
      <c r="E2" s="57"/>
      <c r="F2" s="81"/>
      <c r="G2" s="54"/>
      <c r="H2" s="59"/>
      <c r="I2" s="54"/>
      <c r="J2" s="54"/>
      <c r="K2" s="54"/>
      <c r="L2" s="71"/>
    </row>
    <row r="3" spans="1:11" ht="15" customHeight="1">
      <c r="A3" s="256" t="s">
        <v>32</v>
      </c>
      <c r="B3" s="256"/>
      <c r="C3" s="256"/>
      <c r="D3" s="256"/>
      <c r="E3" s="57"/>
      <c r="G3" s="7"/>
      <c r="H3" s="60"/>
      <c r="I3" s="7"/>
      <c r="J3" s="7"/>
      <c r="K3" s="7"/>
    </row>
    <row r="4" spans="1:11" ht="15" customHeight="1">
      <c r="A4" s="7"/>
      <c r="B4" s="6"/>
      <c r="C4" s="7"/>
      <c r="D4" s="6"/>
      <c r="E4" s="6"/>
      <c r="G4" s="7"/>
      <c r="H4" s="60"/>
      <c r="I4" s="7"/>
      <c r="J4" s="7"/>
      <c r="K4" s="7"/>
    </row>
    <row r="5" spans="1:12" ht="15.75">
      <c r="A5" s="257" t="s">
        <v>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5">
      <c r="A6" s="258" t="s">
        <v>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</row>
    <row r="7" spans="1:12" ht="16.5">
      <c r="A7" s="4"/>
      <c r="B7" s="4"/>
      <c r="C7" s="4"/>
      <c r="D7" s="4"/>
      <c r="E7" s="4"/>
      <c r="F7" s="82"/>
      <c r="G7" s="4"/>
      <c r="H7" s="4"/>
      <c r="I7" s="4"/>
      <c r="J7" s="4"/>
      <c r="K7" s="4"/>
      <c r="L7" s="72"/>
    </row>
    <row r="8" spans="1:12" ht="16.5">
      <c r="A8" s="4"/>
      <c r="B8" s="5"/>
      <c r="C8" s="4"/>
      <c r="D8" s="4"/>
      <c r="E8" s="4"/>
      <c r="F8" s="82"/>
      <c r="G8" s="4"/>
      <c r="H8" s="4"/>
      <c r="I8" s="4"/>
      <c r="J8" s="4"/>
      <c r="K8" s="4"/>
      <c r="L8" s="72"/>
    </row>
    <row r="9" spans="2:12" ht="21.75" customHeight="1">
      <c r="B9" s="14" t="s">
        <v>0</v>
      </c>
      <c r="C9" s="10"/>
      <c r="D9" s="11"/>
      <c r="F9" s="69" t="s">
        <v>35</v>
      </c>
      <c r="G9" s="12"/>
      <c r="H9" s="12"/>
      <c r="I9" s="12"/>
      <c r="J9" s="12"/>
      <c r="K9" s="12"/>
      <c r="L9" s="72"/>
    </row>
    <row r="10" spans="1:18" s="20" customFormat="1" ht="18" customHeight="1">
      <c r="A10" s="63"/>
      <c r="B10" s="21" t="s">
        <v>1311</v>
      </c>
      <c r="C10" s="21" t="s">
        <v>29</v>
      </c>
      <c r="D10" s="22"/>
      <c r="F10" s="69" t="s">
        <v>20</v>
      </c>
      <c r="G10" s="23" t="s">
        <v>1318</v>
      </c>
      <c r="H10" s="23"/>
      <c r="I10" s="23"/>
      <c r="J10" s="23"/>
      <c r="K10" s="23"/>
      <c r="L10" s="73"/>
      <c r="M10" s="78"/>
      <c r="N10" s="86"/>
      <c r="O10" s="86"/>
      <c r="P10" s="86"/>
      <c r="Q10" s="86"/>
      <c r="R10" s="86"/>
    </row>
    <row r="11" spans="1:18" s="20" customFormat="1" ht="18" customHeight="1">
      <c r="A11" s="63"/>
      <c r="B11" s="24" t="s">
        <v>10</v>
      </c>
      <c r="C11" s="25">
        <v>0.1</v>
      </c>
      <c r="D11" s="26"/>
      <c r="F11" s="83" t="s">
        <v>21</v>
      </c>
      <c r="G11" s="26">
        <v>3</v>
      </c>
      <c r="H11" s="61"/>
      <c r="I11" s="26"/>
      <c r="J11" s="26"/>
      <c r="K11" s="26"/>
      <c r="L11" s="74"/>
      <c r="M11" s="78"/>
      <c r="N11" s="86"/>
      <c r="O11" s="86"/>
      <c r="P11" s="86"/>
      <c r="Q11" s="86"/>
      <c r="R11" s="86"/>
    </row>
    <row r="12" spans="1:18" s="20" customFormat="1" ht="18" customHeight="1">
      <c r="A12" s="63"/>
      <c r="B12" s="24" t="s">
        <v>11</v>
      </c>
      <c r="C12" s="25">
        <v>0.1</v>
      </c>
      <c r="D12" s="26"/>
      <c r="F12" s="83" t="s">
        <v>27</v>
      </c>
      <c r="G12" s="26"/>
      <c r="H12" s="61"/>
      <c r="I12" s="26"/>
      <c r="J12" s="26"/>
      <c r="K12" s="26"/>
      <c r="L12" s="74"/>
      <c r="M12" s="78"/>
      <c r="N12" s="86"/>
      <c r="O12" s="86"/>
      <c r="P12" s="86"/>
      <c r="Q12" s="86"/>
      <c r="R12" s="86"/>
    </row>
    <row r="13" spans="1:18" s="20" customFormat="1" ht="18" customHeight="1">
      <c r="A13" s="63"/>
      <c r="B13" s="24" t="s">
        <v>12</v>
      </c>
      <c r="C13" s="25">
        <v>0.2</v>
      </c>
      <c r="D13" s="26"/>
      <c r="F13" s="83" t="s">
        <v>22</v>
      </c>
      <c r="G13" s="26" t="s">
        <v>1319</v>
      </c>
      <c r="H13" s="61"/>
      <c r="I13" s="26"/>
      <c r="J13" s="26"/>
      <c r="K13" s="26"/>
      <c r="L13" s="74"/>
      <c r="M13" s="78"/>
      <c r="N13" s="86"/>
      <c r="O13" s="86"/>
      <c r="P13" s="86"/>
      <c r="Q13" s="86"/>
      <c r="R13" s="86"/>
    </row>
    <row r="14" spans="1:18" s="20" customFormat="1" ht="18" customHeight="1">
      <c r="A14" s="63"/>
      <c r="B14" s="24" t="s">
        <v>13</v>
      </c>
      <c r="C14" s="25">
        <v>0.6</v>
      </c>
      <c r="D14" s="26"/>
      <c r="F14" s="83" t="s">
        <v>1321</v>
      </c>
      <c r="G14" s="294" t="s">
        <v>1372</v>
      </c>
      <c r="H14" s="294"/>
      <c r="I14" s="294"/>
      <c r="J14" s="294"/>
      <c r="K14" s="294"/>
      <c r="L14" s="294"/>
      <c r="M14" s="56"/>
      <c r="N14" s="86"/>
      <c r="O14" s="86"/>
      <c r="P14" s="86"/>
      <c r="Q14" s="86"/>
      <c r="R14" s="86"/>
    </row>
    <row r="15" spans="1:18" s="20" customFormat="1" ht="18" customHeight="1">
      <c r="A15" s="63"/>
      <c r="B15" s="24" t="s">
        <v>14</v>
      </c>
      <c r="C15" s="25"/>
      <c r="D15" s="26"/>
      <c r="F15" s="69" t="s">
        <v>26</v>
      </c>
      <c r="G15" s="26" t="s">
        <v>1320</v>
      </c>
      <c r="H15" s="61"/>
      <c r="I15" s="26"/>
      <c r="J15" s="26"/>
      <c r="K15" s="26"/>
      <c r="L15" s="74"/>
      <c r="M15" s="35"/>
      <c r="N15" s="86"/>
      <c r="O15" s="86"/>
      <c r="P15" s="86"/>
      <c r="Q15" s="86"/>
      <c r="R15" s="86"/>
    </row>
    <row r="16" spans="1:18" s="20" customFormat="1" ht="18" customHeight="1">
      <c r="A16" s="63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F16" s="69" t="s">
        <v>24</v>
      </c>
      <c r="G16" s="35"/>
      <c r="H16" s="22"/>
      <c r="I16" s="22"/>
      <c r="J16" s="22"/>
      <c r="K16" s="22"/>
      <c r="L16" s="75"/>
      <c r="M16" s="78"/>
      <c r="N16" s="86"/>
      <c r="O16" s="86"/>
      <c r="P16" s="86"/>
      <c r="Q16" s="86"/>
      <c r="R16" s="86"/>
    </row>
    <row r="17" spans="2:12" ht="15" customHeight="1">
      <c r="B17" s="9"/>
      <c r="C17" s="10"/>
      <c r="D17" s="10"/>
      <c r="E17" s="10"/>
      <c r="F17" s="84"/>
      <c r="G17" s="10"/>
      <c r="H17" s="10"/>
      <c r="I17" s="10"/>
      <c r="J17" s="10"/>
      <c r="K17" s="10"/>
      <c r="L17" s="76"/>
    </row>
    <row r="18" spans="1:18" s="151" customFormat="1" ht="15" customHeight="1">
      <c r="A18" s="292" t="s">
        <v>17</v>
      </c>
      <c r="B18" s="283" t="s">
        <v>18</v>
      </c>
      <c r="C18" s="285" t="s">
        <v>8</v>
      </c>
      <c r="D18" s="286"/>
      <c r="E18" s="283" t="s">
        <v>9</v>
      </c>
      <c r="F18" s="281" t="s">
        <v>19</v>
      </c>
      <c r="G18" s="281" t="s">
        <v>1</v>
      </c>
      <c r="H18" s="281" t="s">
        <v>2</v>
      </c>
      <c r="I18" s="281" t="s">
        <v>3</v>
      </c>
      <c r="J18" s="281" t="s">
        <v>4</v>
      </c>
      <c r="K18" s="282"/>
      <c r="L18" s="281" t="s">
        <v>15</v>
      </c>
      <c r="M18" s="279" t="s">
        <v>1317</v>
      </c>
      <c r="N18" s="150"/>
      <c r="O18" s="150"/>
      <c r="P18" s="150"/>
      <c r="Q18" s="150"/>
      <c r="R18" s="150"/>
    </row>
    <row r="19" spans="1:18" s="151" customFormat="1" ht="38.25" customHeight="1">
      <c r="A19" s="293"/>
      <c r="B19" s="284"/>
      <c r="C19" s="287"/>
      <c r="D19" s="288"/>
      <c r="E19" s="284"/>
      <c r="F19" s="284"/>
      <c r="G19" s="282"/>
      <c r="H19" s="282"/>
      <c r="I19" s="282"/>
      <c r="J19" s="282"/>
      <c r="K19" s="289"/>
      <c r="L19" s="282"/>
      <c r="M19" s="280"/>
      <c r="N19" s="150"/>
      <c r="O19" s="150"/>
      <c r="P19" s="150"/>
      <c r="Q19" s="150"/>
      <c r="R19" s="150"/>
    </row>
    <row r="20" spans="1:18" s="64" customFormat="1" ht="24.75" customHeight="1">
      <c r="A20" s="94">
        <v>1</v>
      </c>
      <c r="B20" s="95" t="s">
        <v>867</v>
      </c>
      <c r="C20" s="96" t="s">
        <v>108</v>
      </c>
      <c r="D20" s="97" t="s">
        <v>37</v>
      </c>
      <c r="E20" s="94" t="s">
        <v>458</v>
      </c>
      <c r="F20" s="143" t="s">
        <v>1285</v>
      </c>
      <c r="G20" s="98">
        <v>0</v>
      </c>
      <c r="H20" s="99">
        <v>8</v>
      </c>
      <c r="I20" s="98">
        <v>0</v>
      </c>
      <c r="J20" s="98">
        <v>7</v>
      </c>
      <c r="K20" s="98"/>
      <c r="L20" s="100">
        <f aca="true" t="shared" si="0" ref="L20:L83">ROUND(G20*$C$11+H20*$C$12+I20*$C$13+J20*$C$14+K20*$C$15,1)</f>
        <v>5</v>
      </c>
      <c r="M20" s="101" t="s">
        <v>845</v>
      </c>
      <c r="N20" s="92" t="s">
        <v>1339</v>
      </c>
      <c r="O20" s="65"/>
      <c r="P20" s="65"/>
      <c r="Q20" s="65"/>
      <c r="R20" s="65"/>
    </row>
    <row r="21" spans="1:18" s="64" customFormat="1" ht="24.75" customHeight="1">
      <c r="A21" s="94">
        <v>2</v>
      </c>
      <c r="B21" s="95" t="s">
        <v>868</v>
      </c>
      <c r="C21" s="96" t="s">
        <v>106</v>
      </c>
      <c r="D21" s="97" t="s">
        <v>107</v>
      </c>
      <c r="E21" s="94" t="s">
        <v>457</v>
      </c>
      <c r="F21" s="143" t="s">
        <v>1285</v>
      </c>
      <c r="G21" s="102">
        <v>7</v>
      </c>
      <c r="H21" s="102">
        <v>8</v>
      </c>
      <c r="I21" s="103">
        <v>7</v>
      </c>
      <c r="J21" s="102">
        <v>5</v>
      </c>
      <c r="K21" s="102"/>
      <c r="L21" s="100">
        <f t="shared" si="0"/>
        <v>5.9</v>
      </c>
      <c r="M21" s="101" t="s">
        <v>845</v>
      </c>
      <c r="N21" s="92" t="s">
        <v>1341</v>
      </c>
      <c r="O21" s="65"/>
      <c r="P21" s="65"/>
      <c r="Q21" s="65"/>
      <c r="R21" s="65"/>
    </row>
    <row r="22" spans="1:18" s="64" customFormat="1" ht="24.75" customHeight="1">
      <c r="A22" s="94">
        <v>3</v>
      </c>
      <c r="B22" s="95" t="s">
        <v>869</v>
      </c>
      <c r="C22" s="96" t="s">
        <v>357</v>
      </c>
      <c r="D22" s="97" t="s">
        <v>48</v>
      </c>
      <c r="E22" s="94" t="s">
        <v>468</v>
      </c>
      <c r="F22" s="143" t="s">
        <v>1285</v>
      </c>
      <c r="G22" s="98">
        <v>7</v>
      </c>
      <c r="H22" s="99">
        <v>8</v>
      </c>
      <c r="I22" s="98">
        <v>7</v>
      </c>
      <c r="J22" s="98">
        <v>9</v>
      </c>
      <c r="K22" s="98"/>
      <c r="L22" s="100">
        <f t="shared" si="0"/>
        <v>8.3</v>
      </c>
      <c r="M22" s="101" t="s">
        <v>845</v>
      </c>
      <c r="N22" s="92"/>
      <c r="O22" s="65"/>
      <c r="P22" s="65"/>
      <c r="Q22" s="65"/>
      <c r="R22" s="65"/>
    </row>
    <row r="23" spans="1:18" s="64" customFormat="1" ht="24.75" customHeight="1">
      <c r="A23" s="94">
        <v>4</v>
      </c>
      <c r="B23" s="95" t="s">
        <v>870</v>
      </c>
      <c r="C23" s="96" t="s">
        <v>38</v>
      </c>
      <c r="D23" s="97" t="s">
        <v>111</v>
      </c>
      <c r="E23" s="94" t="s">
        <v>462</v>
      </c>
      <c r="F23" s="143" t="s">
        <v>1285</v>
      </c>
      <c r="G23" s="98">
        <v>6</v>
      </c>
      <c r="H23" s="99">
        <v>8</v>
      </c>
      <c r="I23" s="98">
        <v>5</v>
      </c>
      <c r="J23" s="98">
        <v>5</v>
      </c>
      <c r="K23" s="98"/>
      <c r="L23" s="100">
        <f t="shared" si="0"/>
        <v>5.4</v>
      </c>
      <c r="M23" s="101" t="s">
        <v>845</v>
      </c>
      <c r="N23" s="92" t="s">
        <v>1341</v>
      </c>
      <c r="O23" s="65"/>
      <c r="P23" s="65"/>
      <c r="Q23" s="65"/>
      <c r="R23" s="65"/>
    </row>
    <row r="24" spans="1:14" s="79" customFormat="1" ht="24.75" customHeight="1">
      <c r="A24" s="104">
        <v>5</v>
      </c>
      <c r="B24" s="105" t="s">
        <v>871</v>
      </c>
      <c r="C24" s="106" t="s">
        <v>117</v>
      </c>
      <c r="D24" s="107" t="s">
        <v>111</v>
      </c>
      <c r="E24" s="104" t="s">
        <v>471</v>
      </c>
      <c r="F24" s="144" t="s">
        <v>1285</v>
      </c>
      <c r="G24" s="108"/>
      <c r="H24" s="108"/>
      <c r="I24" s="108"/>
      <c r="J24" s="108"/>
      <c r="K24" s="108"/>
      <c r="L24" s="109">
        <f t="shared" si="0"/>
        <v>0</v>
      </c>
      <c r="M24" s="110" t="s">
        <v>845</v>
      </c>
      <c r="N24" s="111" t="s">
        <v>1370</v>
      </c>
    </row>
    <row r="25" spans="1:18" s="64" customFormat="1" ht="24.75" customHeight="1">
      <c r="A25" s="94">
        <v>6</v>
      </c>
      <c r="B25" s="95" t="s">
        <v>872</v>
      </c>
      <c r="C25" s="96" t="s">
        <v>355</v>
      </c>
      <c r="D25" s="97" t="s">
        <v>49</v>
      </c>
      <c r="E25" s="94" t="s">
        <v>459</v>
      </c>
      <c r="F25" s="143" t="s">
        <v>1285</v>
      </c>
      <c r="G25" s="98">
        <v>7</v>
      </c>
      <c r="H25" s="99">
        <v>8</v>
      </c>
      <c r="I25" s="98">
        <v>6.5</v>
      </c>
      <c r="J25" s="98">
        <v>7</v>
      </c>
      <c r="K25" s="98"/>
      <c r="L25" s="100">
        <f t="shared" si="0"/>
        <v>7</v>
      </c>
      <c r="M25" s="101" t="s">
        <v>845</v>
      </c>
      <c r="N25" s="92"/>
      <c r="O25" s="65"/>
      <c r="P25" s="65"/>
      <c r="Q25" s="65"/>
      <c r="R25" s="65"/>
    </row>
    <row r="26" spans="1:14" s="65" customFormat="1" ht="24.75" customHeight="1">
      <c r="A26" s="112">
        <v>7</v>
      </c>
      <c r="B26" s="95" t="s">
        <v>873</v>
      </c>
      <c r="C26" s="96" t="s">
        <v>155</v>
      </c>
      <c r="D26" s="97" t="s">
        <v>53</v>
      </c>
      <c r="E26" s="112" t="s">
        <v>467</v>
      </c>
      <c r="F26" s="143" t="s">
        <v>1285</v>
      </c>
      <c r="G26" s="99">
        <v>7</v>
      </c>
      <c r="H26" s="99">
        <v>8</v>
      </c>
      <c r="I26" s="99">
        <v>7</v>
      </c>
      <c r="J26" s="99">
        <v>5</v>
      </c>
      <c r="K26" s="99"/>
      <c r="L26" s="100">
        <f t="shared" si="0"/>
        <v>5.9</v>
      </c>
      <c r="M26" s="113" t="s">
        <v>845</v>
      </c>
      <c r="N26" s="92" t="s">
        <v>1341</v>
      </c>
    </row>
    <row r="27" spans="1:18" s="64" customFormat="1" ht="24.75" customHeight="1">
      <c r="A27" s="94">
        <v>8</v>
      </c>
      <c r="B27" s="95" t="s">
        <v>874</v>
      </c>
      <c r="C27" s="96" t="s">
        <v>123</v>
      </c>
      <c r="D27" s="97" t="s">
        <v>124</v>
      </c>
      <c r="E27" s="94" t="s">
        <v>476</v>
      </c>
      <c r="F27" s="143" t="s">
        <v>1285</v>
      </c>
      <c r="G27" s="98">
        <v>6</v>
      </c>
      <c r="H27" s="99">
        <v>8</v>
      </c>
      <c r="I27" s="98">
        <v>6</v>
      </c>
      <c r="J27" s="98">
        <v>8</v>
      </c>
      <c r="K27" s="98"/>
      <c r="L27" s="100">
        <f t="shared" si="0"/>
        <v>7.4</v>
      </c>
      <c r="M27" s="101" t="s">
        <v>845</v>
      </c>
      <c r="N27" s="92" t="s">
        <v>1341</v>
      </c>
      <c r="O27" s="65"/>
      <c r="P27" s="65"/>
      <c r="Q27" s="65"/>
      <c r="R27" s="65"/>
    </row>
    <row r="28" spans="1:18" s="64" customFormat="1" ht="24.75" customHeight="1">
      <c r="A28" s="94">
        <v>9</v>
      </c>
      <c r="B28" s="95" t="s">
        <v>875</v>
      </c>
      <c r="C28" s="96" t="s">
        <v>109</v>
      </c>
      <c r="D28" s="97" t="s">
        <v>56</v>
      </c>
      <c r="E28" s="94" t="s">
        <v>460</v>
      </c>
      <c r="F28" s="143" t="s">
        <v>1285</v>
      </c>
      <c r="G28" s="98">
        <v>6</v>
      </c>
      <c r="H28" s="99">
        <v>8</v>
      </c>
      <c r="I28" s="98">
        <v>6</v>
      </c>
      <c r="J28" s="98">
        <v>7</v>
      </c>
      <c r="K28" s="98"/>
      <c r="L28" s="100">
        <f t="shared" si="0"/>
        <v>6.8</v>
      </c>
      <c r="M28" s="101" t="s">
        <v>845</v>
      </c>
      <c r="N28" s="92" t="s">
        <v>1341</v>
      </c>
      <c r="O28" s="65"/>
      <c r="P28" s="65"/>
      <c r="Q28" s="65"/>
      <c r="R28" s="65"/>
    </row>
    <row r="29" spans="1:18" s="64" customFormat="1" ht="24.75" customHeight="1">
      <c r="A29" s="94">
        <v>10</v>
      </c>
      <c r="B29" s="95" t="s">
        <v>876</v>
      </c>
      <c r="C29" s="96" t="s">
        <v>122</v>
      </c>
      <c r="D29" s="97" t="s">
        <v>57</v>
      </c>
      <c r="E29" s="94" t="s">
        <v>475</v>
      </c>
      <c r="F29" s="143" t="s">
        <v>1285</v>
      </c>
      <c r="G29" s="98">
        <v>6</v>
      </c>
      <c r="H29" s="99">
        <v>9</v>
      </c>
      <c r="I29" s="98">
        <v>3</v>
      </c>
      <c r="J29" s="98">
        <v>5</v>
      </c>
      <c r="K29" s="98"/>
      <c r="L29" s="100">
        <f t="shared" si="0"/>
        <v>5.1</v>
      </c>
      <c r="M29" s="101" t="s">
        <v>845</v>
      </c>
      <c r="N29" s="92" t="s">
        <v>1341</v>
      </c>
      <c r="O29" s="65"/>
      <c r="P29" s="65"/>
      <c r="Q29" s="65"/>
      <c r="R29" s="65"/>
    </row>
    <row r="30" spans="1:14" s="65" customFormat="1" ht="24.75" customHeight="1">
      <c r="A30" s="112">
        <v>11</v>
      </c>
      <c r="B30" s="95" t="s">
        <v>877</v>
      </c>
      <c r="C30" s="96" t="s">
        <v>42</v>
      </c>
      <c r="D30" s="97" t="s">
        <v>113</v>
      </c>
      <c r="E30" s="112" t="s">
        <v>464</v>
      </c>
      <c r="F30" s="143" t="s">
        <v>1285</v>
      </c>
      <c r="G30" s="99">
        <v>7</v>
      </c>
      <c r="H30" s="99">
        <v>8</v>
      </c>
      <c r="I30" s="99">
        <v>7</v>
      </c>
      <c r="J30" s="99">
        <v>8</v>
      </c>
      <c r="K30" s="99"/>
      <c r="L30" s="100">
        <f t="shared" si="0"/>
        <v>7.7</v>
      </c>
      <c r="M30" s="113" t="s">
        <v>845</v>
      </c>
      <c r="N30" s="92" t="s">
        <v>1341</v>
      </c>
    </row>
    <row r="31" spans="1:18" s="64" customFormat="1" ht="24.75" customHeight="1">
      <c r="A31" s="94">
        <v>12</v>
      </c>
      <c r="B31" s="95" t="s">
        <v>878</v>
      </c>
      <c r="C31" s="96" t="s">
        <v>69</v>
      </c>
      <c r="D31" s="97" t="s">
        <v>116</v>
      </c>
      <c r="E31" s="94" t="s">
        <v>470</v>
      </c>
      <c r="F31" s="143" t="s">
        <v>1285</v>
      </c>
      <c r="G31" s="98">
        <v>7</v>
      </c>
      <c r="H31" s="99">
        <v>7</v>
      </c>
      <c r="I31" s="98">
        <v>6.5</v>
      </c>
      <c r="J31" s="98">
        <v>9</v>
      </c>
      <c r="K31" s="98"/>
      <c r="L31" s="100">
        <f t="shared" si="0"/>
        <v>8.1</v>
      </c>
      <c r="M31" s="101" t="s">
        <v>845</v>
      </c>
      <c r="N31" s="92" t="s">
        <v>1341</v>
      </c>
      <c r="O31" s="65"/>
      <c r="P31" s="65"/>
      <c r="Q31" s="65"/>
      <c r="R31" s="65"/>
    </row>
    <row r="32" spans="1:18" s="66" customFormat="1" ht="24.75" customHeight="1">
      <c r="A32" s="114">
        <v>13</v>
      </c>
      <c r="B32" s="105" t="s">
        <v>879</v>
      </c>
      <c r="C32" s="106" t="s">
        <v>126</v>
      </c>
      <c r="D32" s="107" t="s">
        <v>116</v>
      </c>
      <c r="E32" s="114" t="s">
        <v>478</v>
      </c>
      <c r="F32" s="144" t="s">
        <v>1285</v>
      </c>
      <c r="G32" s="115"/>
      <c r="H32" s="108"/>
      <c r="I32" s="115"/>
      <c r="J32" s="115"/>
      <c r="K32" s="115"/>
      <c r="L32" s="109">
        <f t="shared" si="0"/>
        <v>0</v>
      </c>
      <c r="M32" s="116" t="s">
        <v>845</v>
      </c>
      <c r="N32" s="111" t="s">
        <v>1342</v>
      </c>
      <c r="O32" s="79"/>
      <c r="P32" s="79"/>
      <c r="Q32" s="79"/>
      <c r="R32" s="79"/>
    </row>
    <row r="33" spans="1:18" s="64" customFormat="1" ht="24.75" customHeight="1">
      <c r="A33" s="94">
        <v>14</v>
      </c>
      <c r="B33" s="95" t="s">
        <v>880</v>
      </c>
      <c r="C33" s="96" t="s">
        <v>456</v>
      </c>
      <c r="D33" s="97" t="s">
        <v>63</v>
      </c>
      <c r="E33" s="94" t="s">
        <v>465</v>
      </c>
      <c r="F33" s="143" t="s">
        <v>1285</v>
      </c>
      <c r="G33" s="98">
        <v>6</v>
      </c>
      <c r="H33" s="99">
        <v>9</v>
      </c>
      <c r="I33" s="98">
        <v>6</v>
      </c>
      <c r="J33" s="98">
        <v>6</v>
      </c>
      <c r="K33" s="98"/>
      <c r="L33" s="100">
        <f t="shared" si="0"/>
        <v>6.3</v>
      </c>
      <c r="M33" s="101" t="s">
        <v>845</v>
      </c>
      <c r="N33" s="92" t="s">
        <v>1341</v>
      </c>
      <c r="O33" s="65"/>
      <c r="P33" s="65"/>
      <c r="Q33" s="65"/>
      <c r="R33" s="65"/>
    </row>
    <row r="34" spans="1:18" s="64" customFormat="1" ht="24.75" customHeight="1">
      <c r="A34" s="94">
        <v>15</v>
      </c>
      <c r="B34" s="95" t="s">
        <v>881</v>
      </c>
      <c r="C34" s="96" t="s">
        <v>120</v>
      </c>
      <c r="D34" s="97" t="s">
        <v>110</v>
      </c>
      <c r="E34" s="94" t="s">
        <v>473</v>
      </c>
      <c r="F34" s="143" t="s">
        <v>1285</v>
      </c>
      <c r="G34" s="98">
        <v>8</v>
      </c>
      <c r="H34" s="99">
        <v>7</v>
      </c>
      <c r="I34" s="98">
        <v>6</v>
      </c>
      <c r="J34" s="98">
        <v>7</v>
      </c>
      <c r="K34" s="98"/>
      <c r="L34" s="100">
        <f t="shared" si="0"/>
        <v>6.9</v>
      </c>
      <c r="M34" s="101" t="s">
        <v>845</v>
      </c>
      <c r="N34" s="92" t="s">
        <v>1341</v>
      </c>
      <c r="O34" s="65"/>
      <c r="P34" s="65"/>
      <c r="Q34" s="65"/>
      <c r="R34" s="65"/>
    </row>
    <row r="35" spans="1:18" s="66" customFormat="1" ht="24.75" customHeight="1">
      <c r="A35" s="114">
        <v>16</v>
      </c>
      <c r="B35" s="105" t="s">
        <v>882</v>
      </c>
      <c r="C35" s="106" t="s">
        <v>356</v>
      </c>
      <c r="D35" s="107" t="s">
        <v>110</v>
      </c>
      <c r="E35" s="114" t="s">
        <v>461</v>
      </c>
      <c r="F35" s="144" t="s">
        <v>1285</v>
      </c>
      <c r="G35" s="115"/>
      <c r="H35" s="108"/>
      <c r="I35" s="115"/>
      <c r="J35" s="115"/>
      <c r="K35" s="115"/>
      <c r="L35" s="109">
        <f t="shared" si="0"/>
        <v>0</v>
      </c>
      <c r="M35" s="116" t="s">
        <v>845</v>
      </c>
      <c r="N35" s="111" t="s">
        <v>1343</v>
      </c>
      <c r="O35" s="79"/>
      <c r="P35" s="79"/>
      <c r="Q35" s="79"/>
      <c r="R35" s="79"/>
    </row>
    <row r="36" spans="1:18" s="64" customFormat="1" ht="24.75" customHeight="1">
      <c r="A36" s="94">
        <v>17</v>
      </c>
      <c r="B36" s="95" t="s">
        <v>883</v>
      </c>
      <c r="C36" s="96" t="s">
        <v>41</v>
      </c>
      <c r="D36" s="97" t="s">
        <v>115</v>
      </c>
      <c r="E36" s="94" t="s">
        <v>469</v>
      </c>
      <c r="F36" s="143" t="s">
        <v>1285</v>
      </c>
      <c r="G36" s="98">
        <v>6</v>
      </c>
      <c r="H36" s="99">
        <v>8</v>
      </c>
      <c r="I36" s="98">
        <v>6</v>
      </c>
      <c r="J36" s="98">
        <v>5</v>
      </c>
      <c r="K36" s="98"/>
      <c r="L36" s="100">
        <f t="shared" si="0"/>
        <v>5.6</v>
      </c>
      <c r="M36" s="101" t="s">
        <v>845</v>
      </c>
      <c r="N36" s="92" t="s">
        <v>1341</v>
      </c>
      <c r="O36" s="65"/>
      <c r="P36" s="65"/>
      <c r="Q36" s="65"/>
      <c r="R36" s="65"/>
    </row>
    <row r="37" spans="1:18" s="64" customFormat="1" ht="24.75" customHeight="1">
      <c r="A37" s="94">
        <v>18</v>
      </c>
      <c r="B37" s="95" t="s">
        <v>884</v>
      </c>
      <c r="C37" s="96" t="s">
        <v>96</v>
      </c>
      <c r="D37" s="97" t="s">
        <v>112</v>
      </c>
      <c r="E37" s="94" t="s">
        <v>463</v>
      </c>
      <c r="F37" s="143" t="s">
        <v>1285</v>
      </c>
      <c r="G37" s="98">
        <v>6</v>
      </c>
      <c r="H37" s="99">
        <v>9</v>
      </c>
      <c r="I37" s="98">
        <v>4</v>
      </c>
      <c r="J37" s="98">
        <v>5</v>
      </c>
      <c r="K37" s="98"/>
      <c r="L37" s="100">
        <f t="shared" si="0"/>
        <v>5.3</v>
      </c>
      <c r="M37" s="101" t="s">
        <v>845</v>
      </c>
      <c r="N37" s="92"/>
      <c r="O37" s="65"/>
      <c r="P37" s="65"/>
      <c r="Q37" s="65"/>
      <c r="R37" s="65"/>
    </row>
    <row r="38" spans="1:18" s="64" customFormat="1" ht="24.75" customHeight="1">
      <c r="A38" s="94">
        <v>19</v>
      </c>
      <c r="B38" s="95" t="s">
        <v>885</v>
      </c>
      <c r="C38" s="96" t="s">
        <v>125</v>
      </c>
      <c r="D38" s="97" t="s">
        <v>100</v>
      </c>
      <c r="E38" s="94" t="s">
        <v>477</v>
      </c>
      <c r="F38" s="143" t="s">
        <v>1285</v>
      </c>
      <c r="G38" s="98">
        <v>6</v>
      </c>
      <c r="H38" s="99">
        <v>8</v>
      </c>
      <c r="I38" s="98">
        <v>5</v>
      </c>
      <c r="J38" s="98">
        <v>9</v>
      </c>
      <c r="K38" s="98"/>
      <c r="L38" s="100">
        <f t="shared" si="0"/>
        <v>7.8</v>
      </c>
      <c r="M38" s="101" t="s">
        <v>845</v>
      </c>
      <c r="N38" s="92"/>
      <c r="O38" s="65"/>
      <c r="P38" s="65"/>
      <c r="Q38" s="65"/>
      <c r="R38" s="65"/>
    </row>
    <row r="39" spans="1:18" s="64" customFormat="1" ht="24.75" customHeight="1">
      <c r="A39" s="94">
        <v>20</v>
      </c>
      <c r="B39" s="95" t="s">
        <v>886</v>
      </c>
      <c r="C39" s="96" t="s">
        <v>358</v>
      </c>
      <c r="D39" s="97" t="s">
        <v>121</v>
      </c>
      <c r="E39" s="94" t="s">
        <v>474</v>
      </c>
      <c r="F39" s="143" t="s">
        <v>1285</v>
      </c>
      <c r="G39" s="98">
        <v>0</v>
      </c>
      <c r="H39" s="99">
        <v>8</v>
      </c>
      <c r="I39" s="98">
        <v>0</v>
      </c>
      <c r="J39" s="98">
        <v>7</v>
      </c>
      <c r="K39" s="98"/>
      <c r="L39" s="100">
        <f t="shared" si="0"/>
        <v>5</v>
      </c>
      <c r="M39" s="101" t="s">
        <v>845</v>
      </c>
      <c r="N39" s="92"/>
      <c r="O39" s="65"/>
      <c r="P39" s="65"/>
      <c r="Q39" s="65"/>
      <c r="R39" s="65"/>
    </row>
    <row r="40" spans="1:18" s="64" customFormat="1" ht="37.5" customHeight="1">
      <c r="A40" s="94">
        <v>21</v>
      </c>
      <c r="B40" s="95" t="s">
        <v>887</v>
      </c>
      <c r="C40" s="96" t="s">
        <v>359</v>
      </c>
      <c r="D40" s="97" t="s">
        <v>127</v>
      </c>
      <c r="E40" s="94" t="s">
        <v>479</v>
      </c>
      <c r="F40" s="143" t="s">
        <v>1285</v>
      </c>
      <c r="G40" s="98">
        <v>7</v>
      </c>
      <c r="H40" s="99">
        <v>8</v>
      </c>
      <c r="I40" s="98">
        <v>7</v>
      </c>
      <c r="J40" s="98">
        <v>6</v>
      </c>
      <c r="K40" s="98"/>
      <c r="L40" s="100">
        <f t="shared" si="0"/>
        <v>6.5</v>
      </c>
      <c r="M40" s="101" t="s">
        <v>1371</v>
      </c>
      <c r="N40" s="92"/>
      <c r="O40" s="65"/>
      <c r="P40" s="65"/>
      <c r="Q40" s="65"/>
      <c r="R40" s="65"/>
    </row>
    <row r="41" spans="1:18" s="66" customFormat="1" ht="24.75" customHeight="1">
      <c r="A41" s="114">
        <v>22</v>
      </c>
      <c r="B41" s="105" t="s">
        <v>888</v>
      </c>
      <c r="C41" s="106" t="s">
        <v>118</v>
      </c>
      <c r="D41" s="107" t="s">
        <v>119</v>
      </c>
      <c r="E41" s="114" t="s">
        <v>472</v>
      </c>
      <c r="F41" s="144" t="s">
        <v>1285</v>
      </c>
      <c r="G41" s="115"/>
      <c r="H41" s="108"/>
      <c r="I41" s="115"/>
      <c r="J41" s="115"/>
      <c r="K41" s="115"/>
      <c r="L41" s="109">
        <f t="shared" si="0"/>
        <v>0</v>
      </c>
      <c r="M41" s="116" t="s">
        <v>845</v>
      </c>
      <c r="N41" s="111" t="s">
        <v>1343</v>
      </c>
      <c r="O41" s="79"/>
      <c r="P41" s="79"/>
      <c r="Q41" s="79"/>
      <c r="R41" s="79"/>
    </row>
    <row r="42" spans="1:18" s="64" customFormat="1" ht="24.75" customHeight="1">
      <c r="A42" s="94">
        <v>23</v>
      </c>
      <c r="B42" s="95" t="s">
        <v>889</v>
      </c>
      <c r="C42" s="96" t="s">
        <v>114</v>
      </c>
      <c r="D42" s="97" t="s">
        <v>72</v>
      </c>
      <c r="E42" s="94" t="s">
        <v>466</v>
      </c>
      <c r="F42" s="143" t="s">
        <v>1285</v>
      </c>
      <c r="G42" s="98">
        <v>8</v>
      </c>
      <c r="H42" s="99">
        <v>9</v>
      </c>
      <c r="I42" s="98">
        <v>8</v>
      </c>
      <c r="J42" s="98">
        <v>8</v>
      </c>
      <c r="K42" s="98"/>
      <c r="L42" s="100">
        <f t="shared" si="0"/>
        <v>8.1</v>
      </c>
      <c r="M42" s="101" t="s">
        <v>845</v>
      </c>
      <c r="N42" s="92"/>
      <c r="O42" s="65"/>
      <c r="P42" s="65"/>
      <c r="Q42" s="65"/>
      <c r="R42" s="65"/>
    </row>
    <row r="43" spans="1:18" s="64" customFormat="1" ht="24.75" customHeight="1">
      <c r="A43" s="94">
        <v>24</v>
      </c>
      <c r="B43" s="95" t="s">
        <v>890</v>
      </c>
      <c r="C43" s="117" t="s">
        <v>444</v>
      </c>
      <c r="D43" s="118" t="s">
        <v>37</v>
      </c>
      <c r="E43" s="94" t="s">
        <v>798</v>
      </c>
      <c r="F43" s="143" t="s">
        <v>1286</v>
      </c>
      <c r="G43" s="99"/>
      <c r="H43" s="99">
        <v>9</v>
      </c>
      <c r="I43" s="99"/>
      <c r="J43" s="98">
        <v>6</v>
      </c>
      <c r="K43" s="98"/>
      <c r="L43" s="100">
        <f t="shared" si="0"/>
        <v>4.5</v>
      </c>
      <c r="M43" s="101" t="s">
        <v>846</v>
      </c>
      <c r="N43" s="92" t="s">
        <v>1344</v>
      </c>
      <c r="O43" s="65"/>
      <c r="P43" s="65"/>
      <c r="Q43" s="65"/>
      <c r="R43" s="65"/>
    </row>
    <row r="44" spans="1:18" s="64" customFormat="1" ht="24.75" customHeight="1">
      <c r="A44" s="94">
        <v>25</v>
      </c>
      <c r="B44" s="95" t="s">
        <v>891</v>
      </c>
      <c r="C44" s="96" t="s">
        <v>361</v>
      </c>
      <c r="D44" s="97" t="s">
        <v>37</v>
      </c>
      <c r="E44" s="94" t="s">
        <v>482</v>
      </c>
      <c r="F44" s="143" t="s">
        <v>1286</v>
      </c>
      <c r="G44" s="98">
        <v>6</v>
      </c>
      <c r="H44" s="99">
        <v>8</v>
      </c>
      <c r="I44" s="98">
        <v>3.5</v>
      </c>
      <c r="J44" s="98">
        <v>6</v>
      </c>
      <c r="K44" s="98"/>
      <c r="L44" s="100">
        <f t="shared" si="0"/>
        <v>5.7</v>
      </c>
      <c r="M44" s="101" t="s">
        <v>846</v>
      </c>
      <c r="N44" s="92"/>
      <c r="O44" s="65"/>
      <c r="P44" s="65"/>
      <c r="Q44" s="65"/>
      <c r="R44" s="65"/>
    </row>
    <row r="45" spans="1:14" s="79" customFormat="1" ht="24.75" customHeight="1">
      <c r="A45" s="104">
        <v>26</v>
      </c>
      <c r="B45" s="105" t="s">
        <v>892</v>
      </c>
      <c r="C45" s="106" t="s">
        <v>130</v>
      </c>
      <c r="D45" s="107" t="s">
        <v>48</v>
      </c>
      <c r="E45" s="104" t="s">
        <v>485</v>
      </c>
      <c r="F45" s="144" t="s">
        <v>1286</v>
      </c>
      <c r="G45" s="108"/>
      <c r="H45" s="108"/>
      <c r="I45" s="108"/>
      <c r="J45" s="108"/>
      <c r="K45" s="108"/>
      <c r="L45" s="109">
        <f t="shared" si="0"/>
        <v>0</v>
      </c>
      <c r="M45" s="110" t="s">
        <v>846</v>
      </c>
      <c r="N45" s="111" t="s">
        <v>1345</v>
      </c>
    </row>
    <row r="46" spans="1:18" s="64" customFormat="1" ht="24.75" customHeight="1">
      <c r="A46" s="94">
        <v>27</v>
      </c>
      <c r="B46" s="95" t="s">
        <v>893</v>
      </c>
      <c r="C46" s="117" t="s">
        <v>90</v>
      </c>
      <c r="D46" s="118" t="s">
        <v>53</v>
      </c>
      <c r="E46" s="94" t="s">
        <v>802</v>
      </c>
      <c r="F46" s="143" t="s">
        <v>1286</v>
      </c>
      <c r="G46" s="98">
        <v>6</v>
      </c>
      <c r="H46" s="99">
        <v>7</v>
      </c>
      <c r="I46" s="98">
        <v>5.5</v>
      </c>
      <c r="J46" s="98">
        <v>8</v>
      </c>
      <c r="K46" s="98"/>
      <c r="L46" s="100">
        <f t="shared" si="0"/>
        <v>7.2</v>
      </c>
      <c r="M46" s="101" t="s">
        <v>846</v>
      </c>
      <c r="N46" s="92"/>
      <c r="O46" s="65"/>
      <c r="P46" s="65"/>
      <c r="Q46" s="65"/>
      <c r="R46" s="65"/>
    </row>
    <row r="47" spans="1:18" s="64" customFormat="1" ht="24.75" customHeight="1">
      <c r="A47" s="94">
        <v>28</v>
      </c>
      <c r="B47" s="95" t="s">
        <v>894</v>
      </c>
      <c r="C47" s="117" t="s">
        <v>42</v>
      </c>
      <c r="D47" s="118" t="s">
        <v>124</v>
      </c>
      <c r="E47" s="94" t="s">
        <v>785</v>
      </c>
      <c r="F47" s="143" t="s">
        <v>1286</v>
      </c>
      <c r="G47" s="98">
        <v>6</v>
      </c>
      <c r="H47" s="99">
        <v>9</v>
      </c>
      <c r="I47" s="98">
        <v>6</v>
      </c>
      <c r="J47" s="98">
        <v>7</v>
      </c>
      <c r="K47" s="98"/>
      <c r="L47" s="100">
        <f t="shared" si="0"/>
        <v>6.9</v>
      </c>
      <c r="M47" s="101" t="s">
        <v>846</v>
      </c>
      <c r="N47" s="92"/>
      <c r="O47" s="65"/>
      <c r="P47" s="65"/>
      <c r="Q47" s="65"/>
      <c r="R47" s="65"/>
    </row>
    <row r="48" spans="1:18" s="64" customFormat="1" ht="24.75" customHeight="1">
      <c r="A48" s="94">
        <v>29</v>
      </c>
      <c r="B48" s="95" t="s">
        <v>895</v>
      </c>
      <c r="C48" s="117" t="s">
        <v>219</v>
      </c>
      <c r="D48" s="118" t="s">
        <v>55</v>
      </c>
      <c r="E48" s="94" t="s">
        <v>465</v>
      </c>
      <c r="F48" s="143" t="s">
        <v>1286</v>
      </c>
      <c r="G48" s="98">
        <v>8</v>
      </c>
      <c r="H48" s="99">
        <v>8</v>
      </c>
      <c r="I48" s="98">
        <v>8</v>
      </c>
      <c r="J48" s="98">
        <v>6</v>
      </c>
      <c r="K48" s="98"/>
      <c r="L48" s="100">
        <f t="shared" si="0"/>
        <v>6.8</v>
      </c>
      <c r="M48" s="101" t="s">
        <v>846</v>
      </c>
      <c r="N48" s="92"/>
      <c r="O48" s="65"/>
      <c r="P48" s="65"/>
      <c r="Q48" s="65"/>
      <c r="R48" s="65"/>
    </row>
    <row r="49" spans="1:18" s="64" customFormat="1" ht="24.75" customHeight="1">
      <c r="A49" s="94">
        <v>30</v>
      </c>
      <c r="B49" s="95" t="s">
        <v>896</v>
      </c>
      <c r="C49" s="117" t="s">
        <v>269</v>
      </c>
      <c r="D49" s="118" t="s">
        <v>293</v>
      </c>
      <c r="E49" s="94" t="s">
        <v>800</v>
      </c>
      <c r="F49" s="143" t="s">
        <v>1286</v>
      </c>
      <c r="G49" s="98">
        <v>6</v>
      </c>
      <c r="H49" s="99">
        <v>8</v>
      </c>
      <c r="I49" s="98">
        <v>5.5</v>
      </c>
      <c r="J49" s="98">
        <v>6</v>
      </c>
      <c r="K49" s="98"/>
      <c r="L49" s="100">
        <f t="shared" si="0"/>
        <v>6.1</v>
      </c>
      <c r="M49" s="101" t="s">
        <v>846</v>
      </c>
      <c r="N49" s="92"/>
      <c r="O49" s="65"/>
      <c r="P49" s="65"/>
      <c r="Q49" s="65"/>
      <c r="R49" s="65"/>
    </row>
    <row r="50" spans="1:18" s="66" customFormat="1" ht="24.75" customHeight="1">
      <c r="A50" s="114">
        <v>31</v>
      </c>
      <c r="B50" s="105" t="s">
        <v>897</v>
      </c>
      <c r="C50" s="119" t="s">
        <v>445</v>
      </c>
      <c r="D50" s="120" t="s">
        <v>388</v>
      </c>
      <c r="E50" s="114" t="s">
        <v>801</v>
      </c>
      <c r="F50" s="144" t="s">
        <v>1286</v>
      </c>
      <c r="G50" s="115"/>
      <c r="H50" s="108"/>
      <c r="I50" s="115"/>
      <c r="J50" s="115"/>
      <c r="K50" s="115"/>
      <c r="L50" s="109">
        <f t="shared" si="0"/>
        <v>0</v>
      </c>
      <c r="M50" s="116" t="s">
        <v>846</v>
      </c>
      <c r="N50" s="111" t="s">
        <v>1342</v>
      </c>
      <c r="O50" s="79"/>
      <c r="P50" s="79"/>
      <c r="Q50" s="79"/>
      <c r="R50" s="79"/>
    </row>
    <row r="51" spans="1:18" s="66" customFormat="1" ht="24.75" customHeight="1">
      <c r="A51" s="114">
        <v>32</v>
      </c>
      <c r="B51" s="105" t="s">
        <v>898</v>
      </c>
      <c r="C51" s="106" t="s">
        <v>362</v>
      </c>
      <c r="D51" s="107" t="s">
        <v>91</v>
      </c>
      <c r="E51" s="114" t="s">
        <v>486</v>
      </c>
      <c r="F51" s="144" t="s">
        <v>1286</v>
      </c>
      <c r="G51" s="115"/>
      <c r="H51" s="108"/>
      <c r="I51" s="115"/>
      <c r="J51" s="115"/>
      <c r="K51" s="115"/>
      <c r="L51" s="109">
        <f t="shared" si="0"/>
        <v>0</v>
      </c>
      <c r="M51" s="116" t="s">
        <v>846</v>
      </c>
      <c r="N51" s="111" t="s">
        <v>1346</v>
      </c>
      <c r="O51" s="79"/>
      <c r="P51" s="79"/>
      <c r="Q51" s="79"/>
      <c r="R51" s="79"/>
    </row>
    <row r="52" spans="1:18" s="66" customFormat="1" ht="24.75" customHeight="1">
      <c r="A52" s="114">
        <v>33</v>
      </c>
      <c r="B52" s="105" t="s">
        <v>899</v>
      </c>
      <c r="C52" s="106" t="s">
        <v>131</v>
      </c>
      <c r="D52" s="107" t="s">
        <v>91</v>
      </c>
      <c r="E52" s="114" t="s">
        <v>487</v>
      </c>
      <c r="F52" s="144" t="s">
        <v>1286</v>
      </c>
      <c r="G52" s="108"/>
      <c r="H52" s="108"/>
      <c r="I52" s="108"/>
      <c r="J52" s="115"/>
      <c r="K52" s="115"/>
      <c r="L52" s="109">
        <f t="shared" si="0"/>
        <v>0</v>
      </c>
      <c r="M52" s="116" t="s">
        <v>846</v>
      </c>
      <c r="N52" s="111" t="s">
        <v>1342</v>
      </c>
      <c r="O52" s="79"/>
      <c r="P52" s="79"/>
      <c r="Q52" s="79"/>
      <c r="R52" s="79"/>
    </row>
    <row r="53" spans="1:14" s="79" customFormat="1" ht="24.75" customHeight="1">
      <c r="A53" s="104">
        <v>34</v>
      </c>
      <c r="B53" s="105" t="s">
        <v>900</v>
      </c>
      <c r="C53" s="106" t="s">
        <v>42</v>
      </c>
      <c r="D53" s="107" t="s">
        <v>113</v>
      </c>
      <c r="E53" s="104" t="s">
        <v>481</v>
      </c>
      <c r="F53" s="144" t="s">
        <v>1286</v>
      </c>
      <c r="G53" s="108"/>
      <c r="H53" s="108"/>
      <c r="I53" s="108"/>
      <c r="J53" s="108"/>
      <c r="K53" s="108"/>
      <c r="L53" s="109">
        <f t="shared" si="0"/>
        <v>0</v>
      </c>
      <c r="M53" s="110" t="s">
        <v>846</v>
      </c>
      <c r="N53" s="111" t="s">
        <v>1345</v>
      </c>
    </row>
    <row r="54" spans="1:18" s="66" customFormat="1" ht="24.75" customHeight="1">
      <c r="A54" s="114">
        <v>35</v>
      </c>
      <c r="B54" s="105" t="s">
        <v>901</v>
      </c>
      <c r="C54" s="106" t="s">
        <v>129</v>
      </c>
      <c r="D54" s="107" t="s">
        <v>116</v>
      </c>
      <c r="E54" s="114" t="s">
        <v>484</v>
      </c>
      <c r="F54" s="144" t="s">
        <v>1286</v>
      </c>
      <c r="G54" s="115"/>
      <c r="H54" s="108"/>
      <c r="I54" s="115"/>
      <c r="J54" s="115"/>
      <c r="K54" s="115"/>
      <c r="L54" s="109">
        <f t="shared" si="0"/>
        <v>0</v>
      </c>
      <c r="M54" s="116" t="s">
        <v>846</v>
      </c>
      <c r="N54" s="111" t="s">
        <v>1345</v>
      </c>
      <c r="O54" s="79"/>
      <c r="P54" s="79"/>
      <c r="Q54" s="79"/>
      <c r="R54" s="79"/>
    </row>
    <row r="55" spans="1:18" s="66" customFormat="1" ht="24.75" customHeight="1">
      <c r="A55" s="114">
        <v>36</v>
      </c>
      <c r="B55" s="105" t="s">
        <v>902</v>
      </c>
      <c r="C55" s="106" t="s">
        <v>133</v>
      </c>
      <c r="D55" s="107" t="s">
        <v>364</v>
      </c>
      <c r="E55" s="114" t="s">
        <v>489</v>
      </c>
      <c r="F55" s="144" t="s">
        <v>1286</v>
      </c>
      <c r="G55" s="115"/>
      <c r="H55" s="108"/>
      <c r="I55" s="115"/>
      <c r="J55" s="115"/>
      <c r="K55" s="115"/>
      <c r="L55" s="109">
        <f t="shared" si="0"/>
        <v>0</v>
      </c>
      <c r="M55" s="116" t="s">
        <v>846</v>
      </c>
      <c r="N55" s="111" t="s">
        <v>1342</v>
      </c>
      <c r="O55" s="79"/>
      <c r="P55" s="79"/>
      <c r="Q55" s="79"/>
      <c r="R55" s="79"/>
    </row>
    <row r="56" spans="1:18" s="66" customFormat="1" ht="24.75" customHeight="1">
      <c r="A56" s="114">
        <v>37</v>
      </c>
      <c r="B56" s="105" t="s">
        <v>903</v>
      </c>
      <c r="C56" s="106" t="s">
        <v>363</v>
      </c>
      <c r="D56" s="107" t="s">
        <v>132</v>
      </c>
      <c r="E56" s="114" t="s">
        <v>488</v>
      </c>
      <c r="F56" s="144" t="s">
        <v>1286</v>
      </c>
      <c r="G56" s="115"/>
      <c r="H56" s="108"/>
      <c r="I56" s="115"/>
      <c r="J56" s="115"/>
      <c r="K56" s="115"/>
      <c r="L56" s="109">
        <f t="shared" si="0"/>
        <v>0</v>
      </c>
      <c r="M56" s="116" t="s">
        <v>846</v>
      </c>
      <c r="N56" s="111" t="s">
        <v>1347</v>
      </c>
      <c r="O56" s="79"/>
      <c r="P56" s="79"/>
      <c r="Q56" s="79"/>
      <c r="R56" s="79"/>
    </row>
    <row r="57" spans="1:18" s="66" customFormat="1" ht="24.75" customHeight="1">
      <c r="A57" s="114">
        <v>38</v>
      </c>
      <c r="B57" s="105" t="s">
        <v>904</v>
      </c>
      <c r="C57" s="106" t="s">
        <v>135</v>
      </c>
      <c r="D57" s="107" t="s">
        <v>110</v>
      </c>
      <c r="E57" s="114" t="s">
        <v>491</v>
      </c>
      <c r="F57" s="144" t="s">
        <v>1286</v>
      </c>
      <c r="G57" s="115"/>
      <c r="H57" s="108"/>
      <c r="I57" s="115"/>
      <c r="J57" s="115"/>
      <c r="K57" s="115"/>
      <c r="L57" s="109">
        <f t="shared" si="0"/>
        <v>0</v>
      </c>
      <c r="M57" s="116" t="s">
        <v>846</v>
      </c>
      <c r="N57" s="111" t="s">
        <v>1342</v>
      </c>
      <c r="O57" s="79"/>
      <c r="P57" s="79"/>
      <c r="Q57" s="79"/>
      <c r="R57" s="79"/>
    </row>
    <row r="58" spans="1:18" s="66" customFormat="1" ht="24.75" customHeight="1">
      <c r="A58" s="114">
        <v>39</v>
      </c>
      <c r="B58" s="105" t="s">
        <v>905</v>
      </c>
      <c r="C58" s="106" t="s">
        <v>134</v>
      </c>
      <c r="D58" s="107" t="s">
        <v>64</v>
      </c>
      <c r="E58" s="114" t="s">
        <v>490</v>
      </c>
      <c r="F58" s="144" t="s">
        <v>1286</v>
      </c>
      <c r="G58" s="115"/>
      <c r="H58" s="108"/>
      <c r="I58" s="115"/>
      <c r="J58" s="115"/>
      <c r="K58" s="115"/>
      <c r="L58" s="109">
        <f t="shared" si="0"/>
        <v>0</v>
      </c>
      <c r="M58" s="116" t="s">
        <v>846</v>
      </c>
      <c r="N58" s="111" t="s">
        <v>1347</v>
      </c>
      <c r="O58" s="79"/>
      <c r="P58" s="79"/>
      <c r="Q58" s="79"/>
      <c r="R58" s="79"/>
    </row>
    <row r="59" spans="1:18" s="64" customFormat="1" ht="24.75" customHeight="1">
      <c r="A59" s="94">
        <v>40</v>
      </c>
      <c r="B59" s="95" t="s">
        <v>906</v>
      </c>
      <c r="C59" s="96" t="s">
        <v>128</v>
      </c>
      <c r="D59" s="97" t="s">
        <v>98</v>
      </c>
      <c r="E59" s="94" t="s">
        <v>483</v>
      </c>
      <c r="F59" s="143" t="s">
        <v>1286</v>
      </c>
      <c r="G59" s="98">
        <v>7</v>
      </c>
      <c r="H59" s="99">
        <v>8</v>
      </c>
      <c r="I59" s="98">
        <v>5</v>
      </c>
      <c r="J59" s="98">
        <v>5</v>
      </c>
      <c r="K59" s="98"/>
      <c r="L59" s="100">
        <f t="shared" si="0"/>
        <v>5.5</v>
      </c>
      <c r="M59" s="101" t="s">
        <v>846</v>
      </c>
      <c r="N59" s="92"/>
      <c r="O59" s="65"/>
      <c r="P59" s="65"/>
      <c r="Q59" s="65"/>
      <c r="R59" s="65"/>
    </row>
    <row r="60" spans="1:18" s="64" customFormat="1" ht="24.75" customHeight="1">
      <c r="A60" s="94">
        <v>41</v>
      </c>
      <c r="B60" s="95" t="s">
        <v>907</v>
      </c>
      <c r="C60" s="117" t="s">
        <v>328</v>
      </c>
      <c r="D60" s="118" t="s">
        <v>112</v>
      </c>
      <c r="E60" s="94" t="s">
        <v>799</v>
      </c>
      <c r="F60" s="143" t="s">
        <v>1286</v>
      </c>
      <c r="G60" s="98">
        <v>6</v>
      </c>
      <c r="H60" s="99">
        <v>8</v>
      </c>
      <c r="I60" s="98">
        <v>5.5</v>
      </c>
      <c r="J60" s="98">
        <v>4</v>
      </c>
      <c r="K60" s="98"/>
      <c r="L60" s="100">
        <f t="shared" si="0"/>
        <v>4.9</v>
      </c>
      <c r="M60" s="101" t="s">
        <v>846</v>
      </c>
      <c r="N60" s="92"/>
      <c r="O60" s="65"/>
      <c r="P60" s="65"/>
      <c r="Q60" s="65"/>
      <c r="R60" s="65"/>
    </row>
    <row r="61" spans="1:18" s="64" customFormat="1" ht="24.75" customHeight="1">
      <c r="A61" s="94">
        <v>42</v>
      </c>
      <c r="B61" s="95" t="s">
        <v>908</v>
      </c>
      <c r="C61" s="117" t="s">
        <v>85</v>
      </c>
      <c r="D61" s="118" t="s">
        <v>99</v>
      </c>
      <c r="E61" s="94" t="s">
        <v>803</v>
      </c>
      <c r="F61" s="143" t="s">
        <v>1286</v>
      </c>
      <c r="G61" s="98">
        <v>6</v>
      </c>
      <c r="H61" s="99">
        <v>9</v>
      </c>
      <c r="I61" s="98">
        <v>5</v>
      </c>
      <c r="J61" s="98">
        <v>4</v>
      </c>
      <c r="K61" s="98"/>
      <c r="L61" s="100">
        <f t="shared" si="0"/>
        <v>4.9</v>
      </c>
      <c r="M61" s="101" t="s">
        <v>846</v>
      </c>
      <c r="N61" s="92"/>
      <c r="O61" s="65"/>
      <c r="P61" s="65"/>
      <c r="Q61" s="65"/>
      <c r="R61" s="65"/>
    </row>
    <row r="62" spans="1:18" s="66" customFormat="1" ht="24.75" customHeight="1">
      <c r="A62" s="114">
        <v>43</v>
      </c>
      <c r="B62" s="105" t="s">
        <v>909</v>
      </c>
      <c r="C62" s="106" t="s">
        <v>360</v>
      </c>
      <c r="D62" s="107" t="s">
        <v>66</v>
      </c>
      <c r="E62" s="114" t="s">
        <v>480</v>
      </c>
      <c r="F62" s="144" t="s">
        <v>1286</v>
      </c>
      <c r="G62" s="115"/>
      <c r="H62" s="108"/>
      <c r="I62" s="115"/>
      <c r="J62" s="115"/>
      <c r="K62" s="115"/>
      <c r="L62" s="109">
        <f t="shared" si="0"/>
        <v>0</v>
      </c>
      <c r="M62" s="116" t="s">
        <v>846</v>
      </c>
      <c r="N62" s="111" t="s">
        <v>1342</v>
      </c>
      <c r="O62" s="79"/>
      <c r="P62" s="79"/>
      <c r="Q62" s="79"/>
      <c r="R62" s="79"/>
    </row>
    <row r="63" spans="1:18" s="64" customFormat="1" ht="24.75" customHeight="1">
      <c r="A63" s="94">
        <v>44</v>
      </c>
      <c r="B63" s="95" t="s">
        <v>910</v>
      </c>
      <c r="C63" s="96" t="s">
        <v>138</v>
      </c>
      <c r="D63" s="97" t="s">
        <v>139</v>
      </c>
      <c r="E63" s="94" t="s">
        <v>493</v>
      </c>
      <c r="F63" s="143" t="s">
        <v>1286</v>
      </c>
      <c r="G63" s="98">
        <v>6</v>
      </c>
      <c r="H63" s="99">
        <v>9</v>
      </c>
      <c r="I63" s="98">
        <v>6</v>
      </c>
      <c r="J63" s="98">
        <v>8</v>
      </c>
      <c r="K63" s="98"/>
      <c r="L63" s="100">
        <f t="shared" si="0"/>
        <v>7.5</v>
      </c>
      <c r="M63" s="101" t="s">
        <v>846</v>
      </c>
      <c r="N63" s="92"/>
      <c r="O63" s="65"/>
      <c r="P63" s="65"/>
      <c r="Q63" s="65"/>
      <c r="R63" s="65"/>
    </row>
    <row r="64" spans="1:18" s="66" customFormat="1" ht="24.75" customHeight="1">
      <c r="A64" s="114">
        <v>45</v>
      </c>
      <c r="B64" s="105" t="s">
        <v>911</v>
      </c>
      <c r="C64" s="106" t="s">
        <v>136</v>
      </c>
      <c r="D64" s="107" t="s">
        <v>137</v>
      </c>
      <c r="E64" s="114" t="s">
        <v>492</v>
      </c>
      <c r="F64" s="144" t="s">
        <v>1286</v>
      </c>
      <c r="G64" s="115"/>
      <c r="H64" s="108"/>
      <c r="I64" s="115"/>
      <c r="J64" s="115"/>
      <c r="K64" s="115"/>
      <c r="L64" s="109">
        <f t="shared" si="0"/>
        <v>0</v>
      </c>
      <c r="M64" s="116" t="s">
        <v>846</v>
      </c>
      <c r="N64" s="111" t="s">
        <v>1347</v>
      </c>
      <c r="O64" s="79"/>
      <c r="P64" s="79"/>
      <c r="Q64" s="79"/>
      <c r="R64" s="79"/>
    </row>
    <row r="65" spans="1:18" s="64" customFormat="1" ht="24.75" customHeight="1">
      <c r="A65" s="94">
        <v>46</v>
      </c>
      <c r="B65" s="95" t="s">
        <v>912</v>
      </c>
      <c r="C65" s="96" t="s">
        <v>140</v>
      </c>
      <c r="D65" s="97" t="s">
        <v>48</v>
      </c>
      <c r="E65" s="94" t="s">
        <v>494</v>
      </c>
      <c r="F65" s="143" t="s">
        <v>1287</v>
      </c>
      <c r="G65" s="98">
        <v>6</v>
      </c>
      <c r="H65" s="99">
        <v>7</v>
      </c>
      <c r="I65" s="98">
        <v>5.5</v>
      </c>
      <c r="J65" s="98">
        <v>7</v>
      </c>
      <c r="K65" s="98"/>
      <c r="L65" s="100">
        <f t="shared" si="0"/>
        <v>6.6</v>
      </c>
      <c r="M65" s="101" t="s">
        <v>1322</v>
      </c>
      <c r="N65" s="92"/>
      <c r="O65" s="65"/>
      <c r="P65" s="65"/>
      <c r="Q65" s="65"/>
      <c r="R65" s="65"/>
    </row>
    <row r="66" spans="1:18" s="64" customFormat="1" ht="24.75" customHeight="1">
      <c r="A66" s="94">
        <v>47</v>
      </c>
      <c r="B66" s="95" t="s">
        <v>913</v>
      </c>
      <c r="C66" s="96" t="s">
        <v>52</v>
      </c>
      <c r="D66" s="97" t="s">
        <v>124</v>
      </c>
      <c r="E66" s="94" t="s">
        <v>497</v>
      </c>
      <c r="F66" s="143" t="s">
        <v>1287</v>
      </c>
      <c r="G66" s="98">
        <v>6</v>
      </c>
      <c r="H66" s="99">
        <v>7</v>
      </c>
      <c r="I66" s="98">
        <v>5</v>
      </c>
      <c r="J66" s="98">
        <v>8</v>
      </c>
      <c r="K66" s="98"/>
      <c r="L66" s="100">
        <f t="shared" si="0"/>
        <v>7.1</v>
      </c>
      <c r="M66" s="101" t="s">
        <v>1322</v>
      </c>
      <c r="N66" s="92"/>
      <c r="O66" s="65"/>
      <c r="P66" s="65"/>
      <c r="Q66" s="65"/>
      <c r="R66" s="65"/>
    </row>
    <row r="67" spans="1:18" s="64" customFormat="1" ht="24.75" customHeight="1">
      <c r="A67" s="94">
        <v>48</v>
      </c>
      <c r="B67" s="95" t="s">
        <v>914</v>
      </c>
      <c r="C67" s="96" t="s">
        <v>365</v>
      </c>
      <c r="D67" s="97" t="s">
        <v>86</v>
      </c>
      <c r="E67" s="94" t="s">
        <v>496</v>
      </c>
      <c r="F67" s="143" t="s">
        <v>1287</v>
      </c>
      <c r="G67" s="98">
        <v>6</v>
      </c>
      <c r="H67" s="99">
        <v>8</v>
      </c>
      <c r="I67" s="98">
        <v>5</v>
      </c>
      <c r="J67" s="98">
        <v>6</v>
      </c>
      <c r="K67" s="98"/>
      <c r="L67" s="100">
        <f t="shared" si="0"/>
        <v>6</v>
      </c>
      <c r="M67" s="101" t="s">
        <v>1322</v>
      </c>
      <c r="N67" s="92"/>
      <c r="O67" s="65"/>
      <c r="P67" s="65"/>
      <c r="Q67" s="65"/>
      <c r="R67" s="65"/>
    </row>
    <row r="68" spans="1:18" s="64" customFormat="1" ht="24.75" customHeight="1">
      <c r="A68" s="94">
        <v>49</v>
      </c>
      <c r="B68" s="95" t="s">
        <v>915</v>
      </c>
      <c r="C68" s="96" t="s">
        <v>141</v>
      </c>
      <c r="D68" s="97" t="s">
        <v>92</v>
      </c>
      <c r="E68" s="94" t="s">
        <v>495</v>
      </c>
      <c r="F68" s="143" t="s">
        <v>1287</v>
      </c>
      <c r="G68" s="98">
        <v>7</v>
      </c>
      <c r="H68" s="99">
        <v>8</v>
      </c>
      <c r="I68" s="98">
        <v>7</v>
      </c>
      <c r="J68" s="98">
        <v>8</v>
      </c>
      <c r="K68" s="98"/>
      <c r="L68" s="100">
        <f t="shared" si="0"/>
        <v>7.7</v>
      </c>
      <c r="M68" s="101" t="s">
        <v>1322</v>
      </c>
      <c r="N68" s="92"/>
      <c r="O68" s="65"/>
      <c r="P68" s="65"/>
      <c r="Q68" s="65"/>
      <c r="R68" s="65"/>
    </row>
    <row r="69" spans="1:14" s="65" customFormat="1" ht="24.75" customHeight="1">
      <c r="A69" s="112">
        <v>50</v>
      </c>
      <c r="B69" s="95" t="s">
        <v>916</v>
      </c>
      <c r="C69" s="96" t="s">
        <v>144</v>
      </c>
      <c r="D69" s="97" t="s">
        <v>62</v>
      </c>
      <c r="E69" s="112" t="s">
        <v>500</v>
      </c>
      <c r="F69" s="143" t="s">
        <v>1287</v>
      </c>
      <c r="G69" s="99">
        <v>6</v>
      </c>
      <c r="H69" s="99">
        <v>9</v>
      </c>
      <c r="I69" s="99">
        <v>5.5</v>
      </c>
      <c r="J69" s="99">
        <v>7</v>
      </c>
      <c r="K69" s="99"/>
      <c r="L69" s="100">
        <f t="shared" si="0"/>
        <v>6.8</v>
      </c>
      <c r="M69" s="113" t="s">
        <v>1322</v>
      </c>
      <c r="N69" s="92"/>
    </row>
    <row r="70" spans="1:18" s="64" customFormat="1" ht="24.75" customHeight="1">
      <c r="A70" s="94">
        <v>51</v>
      </c>
      <c r="B70" s="95" t="s">
        <v>917</v>
      </c>
      <c r="C70" s="96" t="s">
        <v>142</v>
      </c>
      <c r="D70" s="97" t="s">
        <v>143</v>
      </c>
      <c r="E70" s="94" t="s">
        <v>498</v>
      </c>
      <c r="F70" s="143" t="s">
        <v>1287</v>
      </c>
      <c r="G70" s="98">
        <v>7</v>
      </c>
      <c r="H70" s="99">
        <v>8</v>
      </c>
      <c r="I70" s="98">
        <v>7</v>
      </c>
      <c r="J70" s="98">
        <v>7</v>
      </c>
      <c r="K70" s="98"/>
      <c r="L70" s="100">
        <f t="shared" si="0"/>
        <v>7.1</v>
      </c>
      <c r="M70" s="101" t="s">
        <v>1322</v>
      </c>
      <c r="N70" s="92"/>
      <c r="O70" s="65"/>
      <c r="P70" s="65"/>
      <c r="Q70" s="65"/>
      <c r="R70" s="65"/>
    </row>
    <row r="71" spans="1:18" s="64" customFormat="1" ht="24.75" customHeight="1">
      <c r="A71" s="94">
        <v>52</v>
      </c>
      <c r="B71" s="95" t="s">
        <v>918</v>
      </c>
      <c r="C71" s="96" t="s">
        <v>366</v>
      </c>
      <c r="D71" s="97" t="s">
        <v>103</v>
      </c>
      <c r="E71" s="94" t="s">
        <v>499</v>
      </c>
      <c r="F71" s="143" t="s">
        <v>1287</v>
      </c>
      <c r="G71" s="98">
        <v>7</v>
      </c>
      <c r="H71" s="99">
        <v>8</v>
      </c>
      <c r="I71" s="98">
        <v>7</v>
      </c>
      <c r="J71" s="98">
        <v>6</v>
      </c>
      <c r="K71" s="98"/>
      <c r="L71" s="100">
        <f t="shared" si="0"/>
        <v>6.5</v>
      </c>
      <c r="M71" s="101" t="s">
        <v>1322</v>
      </c>
      <c r="N71" s="92"/>
      <c r="O71" s="65"/>
      <c r="P71" s="65"/>
      <c r="Q71" s="65"/>
      <c r="R71" s="65"/>
    </row>
    <row r="72" spans="1:18" s="64" customFormat="1" ht="24.75" customHeight="1">
      <c r="A72" s="94"/>
      <c r="B72" s="95"/>
      <c r="C72" s="96" t="s">
        <v>1377</v>
      </c>
      <c r="D72" s="97" t="s">
        <v>49</v>
      </c>
      <c r="E72" s="121">
        <v>25629</v>
      </c>
      <c r="F72" s="143" t="s">
        <v>1287</v>
      </c>
      <c r="G72" s="98">
        <v>6</v>
      </c>
      <c r="H72" s="99">
        <v>7</v>
      </c>
      <c r="I72" s="98">
        <v>5.5</v>
      </c>
      <c r="J72" s="98">
        <v>6</v>
      </c>
      <c r="K72" s="98"/>
      <c r="L72" s="100">
        <f t="shared" si="0"/>
        <v>6</v>
      </c>
      <c r="M72" s="101" t="s">
        <v>1322</v>
      </c>
      <c r="N72" s="92"/>
      <c r="O72" s="65"/>
      <c r="P72" s="65"/>
      <c r="Q72" s="65"/>
      <c r="R72" s="65"/>
    </row>
    <row r="73" spans="1:18" s="64" customFormat="1" ht="24.75" customHeight="1">
      <c r="A73" s="94"/>
      <c r="B73" s="95"/>
      <c r="C73" s="96" t="s">
        <v>1378</v>
      </c>
      <c r="D73" s="97" t="s">
        <v>124</v>
      </c>
      <c r="E73" s="121">
        <v>25758</v>
      </c>
      <c r="F73" s="143" t="s">
        <v>1287</v>
      </c>
      <c r="G73" s="98">
        <v>6</v>
      </c>
      <c r="H73" s="99">
        <v>8</v>
      </c>
      <c r="I73" s="98">
        <v>0</v>
      </c>
      <c r="J73" s="98">
        <v>8</v>
      </c>
      <c r="K73" s="98"/>
      <c r="L73" s="100">
        <f t="shared" si="0"/>
        <v>6.2</v>
      </c>
      <c r="M73" s="101" t="s">
        <v>1322</v>
      </c>
      <c r="N73" s="92" t="s">
        <v>1349</v>
      </c>
      <c r="O73" s="65"/>
      <c r="P73" s="65"/>
      <c r="Q73" s="65"/>
      <c r="R73" s="65"/>
    </row>
    <row r="74" spans="1:18" s="64" customFormat="1" ht="24.75" customHeight="1">
      <c r="A74" s="94">
        <v>53</v>
      </c>
      <c r="B74" s="95" t="s">
        <v>919</v>
      </c>
      <c r="C74" s="96" t="s">
        <v>378</v>
      </c>
      <c r="D74" s="97" t="s">
        <v>116</v>
      </c>
      <c r="E74" s="94" t="s">
        <v>520</v>
      </c>
      <c r="F74" s="143" t="s">
        <v>1288</v>
      </c>
      <c r="G74" s="98">
        <v>8</v>
      </c>
      <c r="H74" s="99">
        <v>9</v>
      </c>
      <c r="I74" s="98">
        <v>8</v>
      </c>
      <c r="J74" s="98">
        <v>7</v>
      </c>
      <c r="K74" s="98"/>
      <c r="L74" s="100">
        <f t="shared" si="0"/>
        <v>7.5</v>
      </c>
      <c r="M74" s="101" t="s">
        <v>847</v>
      </c>
      <c r="N74" s="92"/>
      <c r="O74" s="65"/>
      <c r="P74" s="65"/>
      <c r="Q74" s="65"/>
      <c r="R74" s="65"/>
    </row>
    <row r="75" spans="1:18" s="64" customFormat="1" ht="24.75" customHeight="1">
      <c r="A75" s="94">
        <v>54</v>
      </c>
      <c r="B75" s="95" t="s">
        <v>920</v>
      </c>
      <c r="C75" s="96" t="s">
        <v>157</v>
      </c>
      <c r="D75" s="97" t="s">
        <v>132</v>
      </c>
      <c r="E75" s="94" t="s">
        <v>522</v>
      </c>
      <c r="F75" s="143" t="s">
        <v>1288</v>
      </c>
      <c r="G75" s="98">
        <v>7</v>
      </c>
      <c r="H75" s="99">
        <v>8</v>
      </c>
      <c r="I75" s="98">
        <v>7</v>
      </c>
      <c r="J75" s="98">
        <v>8</v>
      </c>
      <c r="K75" s="98"/>
      <c r="L75" s="100">
        <f t="shared" si="0"/>
        <v>7.7</v>
      </c>
      <c r="M75" s="101" t="s">
        <v>847</v>
      </c>
      <c r="N75" s="92"/>
      <c r="O75" s="65"/>
      <c r="P75" s="65"/>
      <c r="Q75" s="65"/>
      <c r="R75" s="65"/>
    </row>
    <row r="76" spans="1:18" s="64" customFormat="1" ht="24.75" customHeight="1">
      <c r="A76" s="94">
        <v>55</v>
      </c>
      <c r="B76" s="95" t="s">
        <v>921</v>
      </c>
      <c r="C76" s="117" t="s">
        <v>50</v>
      </c>
      <c r="D76" s="118" t="s">
        <v>146</v>
      </c>
      <c r="E76" s="94" t="s">
        <v>777</v>
      </c>
      <c r="F76" s="143" t="s">
        <v>1288</v>
      </c>
      <c r="G76" s="98">
        <v>6</v>
      </c>
      <c r="H76" s="99">
        <v>8</v>
      </c>
      <c r="I76" s="98">
        <v>6</v>
      </c>
      <c r="J76" s="98">
        <v>7</v>
      </c>
      <c r="K76" s="98"/>
      <c r="L76" s="100">
        <f t="shared" si="0"/>
        <v>6.8</v>
      </c>
      <c r="M76" s="101" t="s">
        <v>847</v>
      </c>
      <c r="N76" s="92"/>
      <c r="O76" s="65"/>
      <c r="P76" s="65"/>
      <c r="Q76" s="65"/>
      <c r="R76" s="65"/>
    </row>
    <row r="77" spans="1:18" s="64" customFormat="1" ht="24.75" customHeight="1">
      <c r="A77" s="94">
        <v>56</v>
      </c>
      <c r="B77" s="95" t="s">
        <v>922</v>
      </c>
      <c r="C77" s="96" t="s">
        <v>156</v>
      </c>
      <c r="D77" s="97" t="s">
        <v>379</v>
      </c>
      <c r="E77" s="94" t="s">
        <v>521</v>
      </c>
      <c r="F77" s="143" t="s">
        <v>1288</v>
      </c>
      <c r="G77" s="98">
        <v>6</v>
      </c>
      <c r="H77" s="99">
        <v>9</v>
      </c>
      <c r="I77" s="98">
        <v>6</v>
      </c>
      <c r="J77" s="98">
        <v>7</v>
      </c>
      <c r="K77" s="98"/>
      <c r="L77" s="100">
        <f t="shared" si="0"/>
        <v>6.9</v>
      </c>
      <c r="M77" s="101" t="s">
        <v>847</v>
      </c>
      <c r="N77" s="92"/>
      <c r="O77" s="65"/>
      <c r="P77" s="65"/>
      <c r="Q77" s="65"/>
      <c r="R77" s="65"/>
    </row>
    <row r="78" spans="1:18" s="64" customFormat="1" ht="24.75" customHeight="1">
      <c r="A78" s="94">
        <v>57</v>
      </c>
      <c r="B78" s="95" t="s">
        <v>923</v>
      </c>
      <c r="C78" s="117" t="s">
        <v>401</v>
      </c>
      <c r="D78" s="118" t="s">
        <v>47</v>
      </c>
      <c r="E78" s="94" t="s">
        <v>601</v>
      </c>
      <c r="F78" s="143" t="s">
        <v>1289</v>
      </c>
      <c r="G78" s="98">
        <v>6</v>
      </c>
      <c r="H78" s="99">
        <v>7</v>
      </c>
      <c r="I78" s="98">
        <v>4</v>
      </c>
      <c r="J78" s="98">
        <v>3</v>
      </c>
      <c r="K78" s="98"/>
      <c r="L78" s="100">
        <f t="shared" si="0"/>
        <v>3.9</v>
      </c>
      <c r="M78" s="101" t="s">
        <v>852</v>
      </c>
      <c r="N78" s="92"/>
      <c r="O78" s="65"/>
      <c r="P78" s="65"/>
      <c r="Q78" s="65"/>
      <c r="R78" s="65"/>
    </row>
    <row r="79" spans="1:18" s="68" customFormat="1" ht="24.75" customHeight="1">
      <c r="A79" s="94">
        <v>58</v>
      </c>
      <c r="B79" s="95" t="s">
        <v>924</v>
      </c>
      <c r="C79" s="117" t="s">
        <v>219</v>
      </c>
      <c r="D79" s="118" t="s">
        <v>53</v>
      </c>
      <c r="E79" s="94" t="s">
        <v>602</v>
      </c>
      <c r="F79" s="143" t="s">
        <v>1289</v>
      </c>
      <c r="G79" s="98">
        <v>8</v>
      </c>
      <c r="H79" s="99">
        <v>6</v>
      </c>
      <c r="I79" s="98">
        <v>8</v>
      </c>
      <c r="J79" s="98">
        <v>7</v>
      </c>
      <c r="K79" s="98"/>
      <c r="L79" s="100">
        <f t="shared" si="0"/>
        <v>7.2</v>
      </c>
      <c r="M79" s="101" t="s">
        <v>852</v>
      </c>
      <c r="N79" s="92"/>
      <c r="O79" s="65"/>
      <c r="P79" s="65"/>
      <c r="Q79" s="65"/>
      <c r="R79" s="65"/>
    </row>
    <row r="80" spans="1:18" s="68" customFormat="1" ht="24.75" customHeight="1">
      <c r="A80" s="94">
        <v>59</v>
      </c>
      <c r="B80" s="95" t="s">
        <v>925</v>
      </c>
      <c r="C80" s="117" t="s">
        <v>41</v>
      </c>
      <c r="D80" s="118" t="s">
        <v>58</v>
      </c>
      <c r="E80" s="94" t="s">
        <v>604</v>
      </c>
      <c r="F80" s="143" t="s">
        <v>1289</v>
      </c>
      <c r="G80" s="98">
        <v>7</v>
      </c>
      <c r="H80" s="99">
        <v>6</v>
      </c>
      <c r="I80" s="98">
        <v>7</v>
      </c>
      <c r="J80" s="98">
        <v>5</v>
      </c>
      <c r="K80" s="98"/>
      <c r="L80" s="100">
        <f t="shared" si="0"/>
        <v>5.7</v>
      </c>
      <c r="M80" s="101" t="s">
        <v>852</v>
      </c>
      <c r="N80" s="92"/>
      <c r="O80" s="65"/>
      <c r="P80" s="65"/>
      <c r="Q80" s="65"/>
      <c r="R80" s="65"/>
    </row>
    <row r="81" spans="1:14" s="65" customFormat="1" ht="24.75" customHeight="1">
      <c r="A81" s="94">
        <v>60</v>
      </c>
      <c r="B81" s="95" t="s">
        <v>926</v>
      </c>
      <c r="C81" s="122" t="s">
        <v>221</v>
      </c>
      <c r="D81" s="123" t="s">
        <v>215</v>
      </c>
      <c r="E81" s="112" t="s">
        <v>606</v>
      </c>
      <c r="F81" s="143" t="s">
        <v>1289</v>
      </c>
      <c r="G81" s="99">
        <v>7</v>
      </c>
      <c r="H81" s="99">
        <v>7</v>
      </c>
      <c r="I81" s="99">
        <v>6.5</v>
      </c>
      <c r="J81" s="99">
        <v>5</v>
      </c>
      <c r="K81" s="99"/>
      <c r="L81" s="100">
        <f t="shared" si="0"/>
        <v>5.7</v>
      </c>
      <c r="M81" s="113" t="s">
        <v>852</v>
      </c>
      <c r="N81" s="92"/>
    </row>
    <row r="82" spans="1:18" s="64" customFormat="1" ht="24.75" customHeight="1">
      <c r="A82" s="94">
        <v>61</v>
      </c>
      <c r="B82" s="95" t="s">
        <v>927</v>
      </c>
      <c r="C82" s="117" t="s">
        <v>147</v>
      </c>
      <c r="D82" s="118" t="s">
        <v>400</v>
      </c>
      <c r="E82" s="94" t="s">
        <v>600</v>
      </c>
      <c r="F82" s="143" t="s">
        <v>1289</v>
      </c>
      <c r="G82" s="98">
        <v>8</v>
      </c>
      <c r="H82" s="99">
        <v>7</v>
      </c>
      <c r="I82" s="98">
        <v>7.5</v>
      </c>
      <c r="J82" s="98">
        <v>7</v>
      </c>
      <c r="K82" s="98"/>
      <c r="L82" s="100">
        <f t="shared" si="0"/>
        <v>7.2</v>
      </c>
      <c r="M82" s="101" t="s">
        <v>852</v>
      </c>
      <c r="N82" s="92"/>
      <c r="O82" s="65"/>
      <c r="P82" s="65"/>
      <c r="Q82" s="65"/>
      <c r="R82" s="65"/>
    </row>
    <row r="83" spans="1:18" s="64" customFormat="1" ht="24.75" customHeight="1">
      <c r="A83" s="94">
        <v>62</v>
      </c>
      <c r="B83" s="95" t="s">
        <v>928</v>
      </c>
      <c r="C83" s="117" t="s">
        <v>40</v>
      </c>
      <c r="D83" s="118" t="s">
        <v>95</v>
      </c>
      <c r="E83" s="94" t="s">
        <v>603</v>
      </c>
      <c r="F83" s="143" t="s">
        <v>1289</v>
      </c>
      <c r="G83" s="98">
        <v>6</v>
      </c>
      <c r="H83" s="99">
        <v>7</v>
      </c>
      <c r="I83" s="98">
        <v>5.5</v>
      </c>
      <c r="J83" s="98">
        <v>8</v>
      </c>
      <c r="K83" s="98"/>
      <c r="L83" s="100">
        <f t="shared" si="0"/>
        <v>7.2</v>
      </c>
      <c r="M83" s="101" t="s">
        <v>852</v>
      </c>
      <c r="N83" s="92"/>
      <c r="O83" s="65"/>
      <c r="P83" s="65"/>
      <c r="Q83" s="65"/>
      <c r="R83" s="65"/>
    </row>
    <row r="84" spans="1:18" s="64" customFormat="1" ht="24.75" customHeight="1">
      <c r="A84" s="94">
        <v>63</v>
      </c>
      <c r="B84" s="95" t="s">
        <v>929</v>
      </c>
      <c r="C84" s="117" t="s">
        <v>220</v>
      </c>
      <c r="D84" s="118" t="s">
        <v>64</v>
      </c>
      <c r="E84" s="94" t="s">
        <v>605</v>
      </c>
      <c r="F84" s="143" t="s">
        <v>1289</v>
      </c>
      <c r="G84" s="98">
        <v>8</v>
      </c>
      <c r="H84" s="99">
        <v>8</v>
      </c>
      <c r="I84" s="98">
        <v>8</v>
      </c>
      <c r="J84" s="98">
        <v>8</v>
      </c>
      <c r="K84" s="98"/>
      <c r="L84" s="100">
        <f aca="true" t="shared" si="1" ref="L84:L147">ROUND(G84*$C$11+H84*$C$12+I84*$C$13+J84*$C$14+K84*$C$15,1)</f>
        <v>8</v>
      </c>
      <c r="M84" s="101" t="s">
        <v>852</v>
      </c>
      <c r="N84" s="92"/>
      <c r="O84" s="65"/>
      <c r="P84" s="65"/>
      <c r="Q84" s="65"/>
      <c r="R84" s="65"/>
    </row>
    <row r="85" spans="1:18" s="64" customFormat="1" ht="24.75" customHeight="1">
      <c r="A85" s="94">
        <v>64</v>
      </c>
      <c r="B85" s="95" t="s">
        <v>930</v>
      </c>
      <c r="C85" s="117" t="s">
        <v>223</v>
      </c>
      <c r="D85" s="118" t="s">
        <v>146</v>
      </c>
      <c r="E85" s="94" t="s">
        <v>608</v>
      </c>
      <c r="F85" s="143" t="s">
        <v>1289</v>
      </c>
      <c r="G85" s="98"/>
      <c r="H85" s="99">
        <v>7</v>
      </c>
      <c r="I85" s="99"/>
      <c r="J85" s="98">
        <v>7</v>
      </c>
      <c r="K85" s="98"/>
      <c r="L85" s="100">
        <f t="shared" si="1"/>
        <v>4.9</v>
      </c>
      <c r="M85" s="101" t="s">
        <v>852</v>
      </c>
      <c r="N85" s="92" t="s">
        <v>1344</v>
      </c>
      <c r="O85" s="65"/>
      <c r="P85" s="65"/>
      <c r="Q85" s="65"/>
      <c r="R85" s="65"/>
    </row>
    <row r="86" spans="1:18" s="64" customFormat="1" ht="24.75" customHeight="1">
      <c r="A86" s="94">
        <v>65</v>
      </c>
      <c r="B86" s="95" t="s">
        <v>931</v>
      </c>
      <c r="C86" s="117" t="s">
        <v>402</v>
      </c>
      <c r="D86" s="118" t="s">
        <v>222</v>
      </c>
      <c r="E86" s="94" t="s">
        <v>607</v>
      </c>
      <c r="F86" s="143" t="s">
        <v>1289</v>
      </c>
      <c r="G86" s="98">
        <v>6</v>
      </c>
      <c r="H86" s="99">
        <v>7</v>
      </c>
      <c r="I86" s="98">
        <v>5</v>
      </c>
      <c r="J86" s="98">
        <v>7</v>
      </c>
      <c r="K86" s="98"/>
      <c r="L86" s="100">
        <f t="shared" si="1"/>
        <v>6.5</v>
      </c>
      <c r="M86" s="101" t="s">
        <v>852</v>
      </c>
      <c r="N86" s="92"/>
      <c r="O86" s="65"/>
      <c r="P86" s="65"/>
      <c r="Q86" s="65"/>
      <c r="R86" s="65"/>
    </row>
    <row r="87" spans="1:18" s="64" customFormat="1" ht="24.75" customHeight="1">
      <c r="A87" s="94">
        <v>66</v>
      </c>
      <c r="B87" s="95" t="s">
        <v>932</v>
      </c>
      <c r="C87" s="117" t="s">
        <v>224</v>
      </c>
      <c r="D87" s="118" t="s">
        <v>119</v>
      </c>
      <c r="E87" s="94" t="s">
        <v>609</v>
      </c>
      <c r="F87" s="143" t="s">
        <v>1289</v>
      </c>
      <c r="G87" s="98">
        <v>7</v>
      </c>
      <c r="H87" s="99">
        <v>8</v>
      </c>
      <c r="I87" s="98">
        <v>7</v>
      </c>
      <c r="J87" s="98">
        <v>7</v>
      </c>
      <c r="K87" s="98"/>
      <c r="L87" s="100">
        <f t="shared" si="1"/>
        <v>7.1</v>
      </c>
      <c r="M87" s="101" t="s">
        <v>852</v>
      </c>
      <c r="N87" s="92"/>
      <c r="O87" s="65"/>
      <c r="P87" s="65"/>
      <c r="Q87" s="65"/>
      <c r="R87" s="65"/>
    </row>
    <row r="88" spans="1:18" s="64" customFormat="1" ht="24.75" customHeight="1">
      <c r="A88" s="94">
        <v>67</v>
      </c>
      <c r="B88" s="95" t="s">
        <v>933</v>
      </c>
      <c r="C88" s="117" t="s">
        <v>122</v>
      </c>
      <c r="D88" s="118" t="s">
        <v>119</v>
      </c>
      <c r="E88" s="94" t="s">
        <v>522</v>
      </c>
      <c r="F88" s="143" t="s">
        <v>1289</v>
      </c>
      <c r="G88" s="98">
        <v>6</v>
      </c>
      <c r="H88" s="99">
        <v>8</v>
      </c>
      <c r="I88" s="98">
        <v>6</v>
      </c>
      <c r="J88" s="98">
        <v>8</v>
      </c>
      <c r="K88" s="98"/>
      <c r="L88" s="100">
        <f t="shared" si="1"/>
        <v>7.4</v>
      </c>
      <c r="M88" s="101" t="s">
        <v>852</v>
      </c>
      <c r="N88" s="92"/>
      <c r="O88" s="65"/>
      <c r="P88" s="65"/>
      <c r="Q88" s="65"/>
      <c r="R88" s="65"/>
    </row>
    <row r="89" spans="1:18" s="64" customFormat="1" ht="24.75" customHeight="1">
      <c r="A89" s="94">
        <v>68</v>
      </c>
      <c r="B89" s="95" t="s">
        <v>934</v>
      </c>
      <c r="C89" s="117" t="s">
        <v>155</v>
      </c>
      <c r="D89" s="118" t="s">
        <v>72</v>
      </c>
      <c r="E89" s="94" t="s">
        <v>610</v>
      </c>
      <c r="F89" s="143" t="s">
        <v>1289</v>
      </c>
      <c r="G89" s="98">
        <v>0</v>
      </c>
      <c r="H89" s="99">
        <v>7</v>
      </c>
      <c r="I89" s="98">
        <v>7</v>
      </c>
      <c r="J89" s="98">
        <v>7</v>
      </c>
      <c r="K89" s="98"/>
      <c r="L89" s="100">
        <f t="shared" si="1"/>
        <v>6.3</v>
      </c>
      <c r="M89" s="101" t="s">
        <v>852</v>
      </c>
      <c r="N89" s="92"/>
      <c r="O89" s="65"/>
      <c r="P89" s="65"/>
      <c r="Q89" s="65"/>
      <c r="R89" s="65"/>
    </row>
    <row r="90" spans="1:18" s="64" customFormat="1" ht="24.75" customHeight="1">
      <c r="A90" s="94">
        <v>69</v>
      </c>
      <c r="B90" s="95" t="s">
        <v>935</v>
      </c>
      <c r="C90" s="117" t="s">
        <v>315</v>
      </c>
      <c r="D90" s="118" t="s">
        <v>316</v>
      </c>
      <c r="E90" s="94" t="s">
        <v>778</v>
      </c>
      <c r="F90" s="143" t="s">
        <v>1290</v>
      </c>
      <c r="G90" s="98">
        <v>6</v>
      </c>
      <c r="H90" s="99">
        <v>7</v>
      </c>
      <c r="I90" s="98">
        <v>6</v>
      </c>
      <c r="J90" s="98">
        <v>7</v>
      </c>
      <c r="K90" s="98"/>
      <c r="L90" s="100">
        <f t="shared" si="1"/>
        <v>6.7</v>
      </c>
      <c r="M90" s="101" t="s">
        <v>848</v>
      </c>
      <c r="N90" s="92"/>
      <c r="O90" s="65"/>
      <c r="P90" s="65"/>
      <c r="Q90" s="65"/>
      <c r="R90" s="65"/>
    </row>
    <row r="91" spans="1:18" s="64" customFormat="1" ht="24.75" customHeight="1">
      <c r="A91" s="94">
        <v>70</v>
      </c>
      <c r="B91" s="95" t="s">
        <v>936</v>
      </c>
      <c r="C91" s="96" t="s">
        <v>381</v>
      </c>
      <c r="D91" s="97" t="s">
        <v>74</v>
      </c>
      <c r="E91" s="94" t="s">
        <v>536</v>
      </c>
      <c r="F91" s="143" t="s">
        <v>1290</v>
      </c>
      <c r="G91" s="98">
        <v>7</v>
      </c>
      <c r="H91" s="99">
        <v>8</v>
      </c>
      <c r="I91" s="98">
        <v>7</v>
      </c>
      <c r="J91" s="98">
        <v>6</v>
      </c>
      <c r="K91" s="98"/>
      <c r="L91" s="100">
        <f t="shared" si="1"/>
        <v>6.5</v>
      </c>
      <c r="M91" s="101" t="s">
        <v>848</v>
      </c>
      <c r="N91" s="92"/>
      <c r="O91" s="65"/>
      <c r="P91" s="65"/>
      <c r="Q91" s="65"/>
      <c r="R91" s="65"/>
    </row>
    <row r="92" spans="1:18" s="64" customFormat="1" ht="24.75" customHeight="1">
      <c r="A92" s="94">
        <v>71</v>
      </c>
      <c r="B92" s="95" t="s">
        <v>937</v>
      </c>
      <c r="C92" s="117" t="s">
        <v>181</v>
      </c>
      <c r="D92" s="118" t="s">
        <v>173</v>
      </c>
      <c r="E92" s="94" t="s">
        <v>716</v>
      </c>
      <c r="F92" s="143" t="s">
        <v>1290</v>
      </c>
      <c r="G92" s="99">
        <v>6</v>
      </c>
      <c r="H92" s="99">
        <v>8</v>
      </c>
      <c r="I92" s="98">
        <v>5</v>
      </c>
      <c r="J92" s="98">
        <v>6</v>
      </c>
      <c r="K92" s="98"/>
      <c r="L92" s="100">
        <f t="shared" si="1"/>
        <v>6</v>
      </c>
      <c r="M92" s="101" t="s">
        <v>848</v>
      </c>
      <c r="N92" s="92"/>
      <c r="O92" s="65"/>
      <c r="P92" s="65"/>
      <c r="Q92" s="65"/>
      <c r="R92" s="65"/>
    </row>
    <row r="93" spans="1:18" s="64" customFormat="1" ht="24.75" customHeight="1">
      <c r="A93" s="94">
        <v>72</v>
      </c>
      <c r="B93" s="95" t="s">
        <v>938</v>
      </c>
      <c r="C93" s="96" t="s">
        <v>172</v>
      </c>
      <c r="D93" s="97" t="s">
        <v>173</v>
      </c>
      <c r="E93" s="94" t="s">
        <v>538</v>
      </c>
      <c r="F93" s="143" t="s">
        <v>1290</v>
      </c>
      <c r="G93" s="98">
        <v>6</v>
      </c>
      <c r="H93" s="99">
        <v>9</v>
      </c>
      <c r="I93" s="98">
        <v>6</v>
      </c>
      <c r="J93" s="98">
        <v>2</v>
      </c>
      <c r="K93" s="98"/>
      <c r="L93" s="100">
        <f t="shared" si="1"/>
        <v>3.9</v>
      </c>
      <c r="M93" s="101" t="s">
        <v>848</v>
      </c>
      <c r="N93" s="92"/>
      <c r="O93" s="65"/>
      <c r="P93" s="65"/>
      <c r="Q93" s="65"/>
      <c r="R93" s="65"/>
    </row>
    <row r="94" spans="1:18" s="64" customFormat="1" ht="24.75" customHeight="1">
      <c r="A94" s="94">
        <v>73</v>
      </c>
      <c r="B94" s="95" t="s">
        <v>939</v>
      </c>
      <c r="C94" s="96" t="s">
        <v>382</v>
      </c>
      <c r="D94" s="97" t="s">
        <v>158</v>
      </c>
      <c r="E94" s="94" t="s">
        <v>539</v>
      </c>
      <c r="F94" s="143" t="s">
        <v>1290</v>
      </c>
      <c r="G94" s="98">
        <v>6</v>
      </c>
      <c r="H94" s="99">
        <v>7</v>
      </c>
      <c r="I94" s="98">
        <v>5.5</v>
      </c>
      <c r="J94" s="98">
        <v>3</v>
      </c>
      <c r="K94" s="98"/>
      <c r="L94" s="100">
        <f t="shared" si="1"/>
        <v>4.2</v>
      </c>
      <c r="M94" s="101" t="s">
        <v>848</v>
      </c>
      <c r="N94" s="92"/>
      <c r="O94" s="65"/>
      <c r="P94" s="65"/>
      <c r="Q94" s="65"/>
      <c r="R94" s="65"/>
    </row>
    <row r="95" spans="1:18" s="64" customFormat="1" ht="24.75" customHeight="1">
      <c r="A95" s="94">
        <v>74</v>
      </c>
      <c r="B95" s="95" t="s">
        <v>940</v>
      </c>
      <c r="C95" s="96" t="s">
        <v>165</v>
      </c>
      <c r="D95" s="97" t="s">
        <v>166</v>
      </c>
      <c r="E95" s="94" t="s">
        <v>530</v>
      </c>
      <c r="F95" s="143" t="s">
        <v>1290</v>
      </c>
      <c r="G95" s="98">
        <v>7</v>
      </c>
      <c r="H95" s="99">
        <v>8</v>
      </c>
      <c r="I95" s="98">
        <v>7</v>
      </c>
      <c r="J95" s="98">
        <v>7</v>
      </c>
      <c r="K95" s="98"/>
      <c r="L95" s="100">
        <f t="shared" si="1"/>
        <v>7.1</v>
      </c>
      <c r="M95" s="101" t="s">
        <v>848</v>
      </c>
      <c r="N95" s="92"/>
      <c r="O95" s="65"/>
      <c r="P95" s="65"/>
      <c r="Q95" s="65"/>
      <c r="R95" s="65"/>
    </row>
    <row r="96" spans="1:18" s="64" customFormat="1" ht="24.75" customHeight="1">
      <c r="A96" s="94">
        <v>75</v>
      </c>
      <c r="B96" s="95" t="s">
        <v>941</v>
      </c>
      <c r="C96" s="117" t="s">
        <v>322</v>
      </c>
      <c r="D96" s="118" t="s">
        <v>241</v>
      </c>
      <c r="E96" s="94" t="s">
        <v>786</v>
      </c>
      <c r="F96" s="143" t="s">
        <v>1290</v>
      </c>
      <c r="G96" s="98">
        <v>6</v>
      </c>
      <c r="H96" s="99">
        <v>8</v>
      </c>
      <c r="I96" s="98">
        <v>6</v>
      </c>
      <c r="J96" s="98">
        <v>3</v>
      </c>
      <c r="K96" s="98"/>
      <c r="L96" s="100">
        <f t="shared" si="1"/>
        <v>4.4</v>
      </c>
      <c r="M96" s="101" t="s">
        <v>848</v>
      </c>
      <c r="N96" s="92"/>
      <c r="O96" s="65"/>
      <c r="P96" s="65"/>
      <c r="Q96" s="65"/>
      <c r="R96" s="65"/>
    </row>
    <row r="97" spans="1:18" s="64" customFormat="1" ht="24.75" customHeight="1">
      <c r="A97" s="94">
        <v>76</v>
      </c>
      <c r="B97" s="95" t="s">
        <v>942</v>
      </c>
      <c r="C97" s="96" t="s">
        <v>69</v>
      </c>
      <c r="D97" s="97" t="s">
        <v>58</v>
      </c>
      <c r="E97" s="94" t="s">
        <v>521</v>
      </c>
      <c r="F97" s="143" t="s">
        <v>1290</v>
      </c>
      <c r="G97" s="98">
        <v>6</v>
      </c>
      <c r="H97" s="99">
        <v>8</v>
      </c>
      <c r="I97" s="98">
        <v>4</v>
      </c>
      <c r="J97" s="98">
        <v>5</v>
      </c>
      <c r="K97" s="98"/>
      <c r="L97" s="100">
        <f t="shared" si="1"/>
        <v>5.2</v>
      </c>
      <c r="M97" s="101" t="s">
        <v>848</v>
      </c>
      <c r="N97" s="92"/>
      <c r="O97" s="65"/>
      <c r="P97" s="65"/>
      <c r="Q97" s="65"/>
      <c r="R97" s="65"/>
    </row>
    <row r="98" spans="1:18" s="64" customFormat="1" ht="24.75" customHeight="1">
      <c r="A98" s="94">
        <v>77</v>
      </c>
      <c r="B98" s="95" t="s">
        <v>943</v>
      </c>
      <c r="C98" s="96" t="s">
        <v>380</v>
      </c>
      <c r="D98" s="97" t="s">
        <v>59</v>
      </c>
      <c r="E98" s="94" t="s">
        <v>528</v>
      </c>
      <c r="F98" s="143" t="s">
        <v>1290</v>
      </c>
      <c r="G98" s="98">
        <v>6</v>
      </c>
      <c r="H98" s="99">
        <v>8</v>
      </c>
      <c r="I98" s="98">
        <v>6</v>
      </c>
      <c r="J98" s="98">
        <v>7</v>
      </c>
      <c r="K98" s="98"/>
      <c r="L98" s="100">
        <f t="shared" si="1"/>
        <v>6.8</v>
      </c>
      <c r="M98" s="101" t="s">
        <v>848</v>
      </c>
      <c r="N98" s="92"/>
      <c r="O98" s="65"/>
      <c r="P98" s="65"/>
      <c r="Q98" s="65"/>
      <c r="R98" s="65"/>
    </row>
    <row r="99" spans="1:18" s="64" customFormat="1" ht="24.75" customHeight="1">
      <c r="A99" s="94">
        <v>78</v>
      </c>
      <c r="B99" s="95" t="s">
        <v>944</v>
      </c>
      <c r="C99" s="117" t="s">
        <v>61</v>
      </c>
      <c r="D99" s="118" t="s">
        <v>59</v>
      </c>
      <c r="E99" s="94" t="s">
        <v>804</v>
      </c>
      <c r="F99" s="143" t="s">
        <v>1290</v>
      </c>
      <c r="G99" s="98">
        <v>6</v>
      </c>
      <c r="H99" s="99">
        <v>8</v>
      </c>
      <c r="I99" s="98">
        <v>6</v>
      </c>
      <c r="J99" s="98">
        <v>6</v>
      </c>
      <c r="K99" s="98"/>
      <c r="L99" s="100">
        <f t="shared" si="1"/>
        <v>6.2</v>
      </c>
      <c r="M99" s="101" t="s">
        <v>848</v>
      </c>
      <c r="N99" s="92"/>
      <c r="O99" s="65"/>
      <c r="P99" s="65"/>
      <c r="Q99" s="65"/>
      <c r="R99" s="65"/>
    </row>
    <row r="100" spans="1:18" s="64" customFormat="1" ht="24.75" customHeight="1">
      <c r="A100" s="94">
        <v>79</v>
      </c>
      <c r="B100" s="95" t="s">
        <v>945</v>
      </c>
      <c r="C100" s="96" t="s">
        <v>167</v>
      </c>
      <c r="D100" s="97" t="s">
        <v>113</v>
      </c>
      <c r="E100" s="94" t="s">
        <v>531</v>
      </c>
      <c r="F100" s="143" t="s">
        <v>1290</v>
      </c>
      <c r="G100" s="98">
        <v>6</v>
      </c>
      <c r="H100" s="99">
        <v>8</v>
      </c>
      <c r="I100" s="98">
        <v>6</v>
      </c>
      <c r="J100" s="98">
        <v>7</v>
      </c>
      <c r="K100" s="98"/>
      <c r="L100" s="100">
        <f t="shared" si="1"/>
        <v>6.8</v>
      </c>
      <c r="M100" s="101" t="s">
        <v>848</v>
      </c>
      <c r="N100" s="92"/>
      <c r="O100" s="65"/>
      <c r="P100" s="65"/>
      <c r="Q100" s="65"/>
      <c r="R100" s="65"/>
    </row>
    <row r="101" spans="1:18" s="64" customFormat="1" ht="24.75" customHeight="1">
      <c r="A101" s="94">
        <v>80</v>
      </c>
      <c r="B101" s="95" t="s">
        <v>946</v>
      </c>
      <c r="C101" s="96" t="s">
        <v>384</v>
      </c>
      <c r="D101" s="97" t="s">
        <v>179</v>
      </c>
      <c r="E101" s="94" t="s">
        <v>543</v>
      </c>
      <c r="F101" s="143" t="s">
        <v>1290</v>
      </c>
      <c r="G101" s="98">
        <v>6</v>
      </c>
      <c r="H101" s="99">
        <v>8</v>
      </c>
      <c r="I101" s="98">
        <v>4</v>
      </c>
      <c r="J101" s="98">
        <v>7</v>
      </c>
      <c r="K101" s="98"/>
      <c r="L101" s="100">
        <f t="shared" si="1"/>
        <v>6.4</v>
      </c>
      <c r="M101" s="101" t="s">
        <v>848</v>
      </c>
      <c r="N101" s="92"/>
      <c r="O101" s="65"/>
      <c r="P101" s="65"/>
      <c r="Q101" s="65"/>
      <c r="R101" s="65"/>
    </row>
    <row r="102" spans="1:18" s="64" customFormat="1" ht="24.75" customHeight="1">
      <c r="A102" s="94">
        <v>81</v>
      </c>
      <c r="B102" s="95" t="s">
        <v>947</v>
      </c>
      <c r="C102" s="96" t="s">
        <v>163</v>
      </c>
      <c r="D102" s="97" t="s">
        <v>95</v>
      </c>
      <c r="E102" s="94" t="s">
        <v>529</v>
      </c>
      <c r="F102" s="143" t="s">
        <v>1290</v>
      </c>
      <c r="G102" s="98">
        <v>6</v>
      </c>
      <c r="H102" s="99">
        <v>8</v>
      </c>
      <c r="I102" s="98">
        <v>5</v>
      </c>
      <c r="J102" s="98">
        <v>3</v>
      </c>
      <c r="K102" s="98"/>
      <c r="L102" s="100">
        <f t="shared" si="1"/>
        <v>4.2</v>
      </c>
      <c r="M102" s="101" t="s">
        <v>848</v>
      </c>
      <c r="N102" s="92"/>
      <c r="O102" s="65"/>
      <c r="P102" s="65"/>
      <c r="Q102" s="65"/>
      <c r="R102" s="65"/>
    </row>
    <row r="103" spans="1:18" s="64" customFormat="1" ht="24.75" customHeight="1">
      <c r="A103" s="94">
        <v>82</v>
      </c>
      <c r="B103" s="95" t="s">
        <v>948</v>
      </c>
      <c r="C103" s="96" t="s">
        <v>177</v>
      </c>
      <c r="D103" s="97" t="s">
        <v>62</v>
      </c>
      <c r="E103" s="94" t="s">
        <v>541</v>
      </c>
      <c r="F103" s="143" t="s">
        <v>1290</v>
      </c>
      <c r="G103" s="98">
        <v>6</v>
      </c>
      <c r="H103" s="99">
        <v>8</v>
      </c>
      <c r="I103" s="98">
        <v>5</v>
      </c>
      <c r="J103" s="98">
        <v>5</v>
      </c>
      <c r="K103" s="98"/>
      <c r="L103" s="100">
        <f t="shared" si="1"/>
        <v>5.4</v>
      </c>
      <c r="M103" s="101" t="s">
        <v>848</v>
      </c>
      <c r="N103" s="92"/>
      <c r="O103" s="65"/>
      <c r="P103" s="65"/>
      <c r="Q103" s="65"/>
      <c r="R103" s="65"/>
    </row>
    <row r="104" spans="1:18" s="68" customFormat="1" ht="24.75" customHeight="1">
      <c r="A104" s="94">
        <v>83</v>
      </c>
      <c r="B104" s="95" t="s">
        <v>949</v>
      </c>
      <c r="C104" s="96" t="s">
        <v>155</v>
      </c>
      <c r="D104" s="97" t="s">
        <v>178</v>
      </c>
      <c r="E104" s="94" t="s">
        <v>542</v>
      </c>
      <c r="F104" s="143" t="s">
        <v>1290</v>
      </c>
      <c r="G104" s="98">
        <v>6</v>
      </c>
      <c r="H104" s="99">
        <v>8</v>
      </c>
      <c r="I104" s="98">
        <v>0</v>
      </c>
      <c r="J104" s="98">
        <v>5</v>
      </c>
      <c r="K104" s="98"/>
      <c r="L104" s="100">
        <f t="shared" si="1"/>
        <v>4.4</v>
      </c>
      <c r="M104" s="101" t="s">
        <v>848</v>
      </c>
      <c r="N104" s="92"/>
      <c r="O104" s="65"/>
      <c r="P104" s="65"/>
      <c r="Q104" s="65"/>
      <c r="R104" s="65"/>
    </row>
    <row r="105" spans="1:18" s="68" customFormat="1" ht="24.75" customHeight="1">
      <c r="A105" s="94">
        <v>84</v>
      </c>
      <c r="B105" s="95" t="s">
        <v>950</v>
      </c>
      <c r="C105" s="96" t="s">
        <v>175</v>
      </c>
      <c r="D105" s="97" t="s">
        <v>176</v>
      </c>
      <c r="E105" s="94" t="s">
        <v>472</v>
      </c>
      <c r="F105" s="143" t="s">
        <v>1290</v>
      </c>
      <c r="G105" s="98">
        <v>6</v>
      </c>
      <c r="H105" s="99">
        <v>8</v>
      </c>
      <c r="I105" s="98">
        <v>6</v>
      </c>
      <c r="J105" s="98">
        <v>5</v>
      </c>
      <c r="K105" s="98"/>
      <c r="L105" s="100">
        <f t="shared" si="1"/>
        <v>5.6</v>
      </c>
      <c r="M105" s="101" t="s">
        <v>848</v>
      </c>
      <c r="N105" s="92"/>
      <c r="O105" s="65"/>
      <c r="P105" s="65"/>
      <c r="Q105" s="65"/>
      <c r="R105" s="65"/>
    </row>
    <row r="106" spans="1:18" s="64" customFormat="1" ht="24.75" customHeight="1">
      <c r="A106" s="94">
        <v>85</v>
      </c>
      <c r="B106" s="95" t="s">
        <v>951</v>
      </c>
      <c r="C106" s="96" t="s">
        <v>174</v>
      </c>
      <c r="D106" s="97" t="s">
        <v>383</v>
      </c>
      <c r="E106" s="94" t="s">
        <v>540</v>
      </c>
      <c r="F106" s="143" t="s">
        <v>1290</v>
      </c>
      <c r="G106" s="98">
        <v>6</v>
      </c>
      <c r="H106" s="99">
        <v>8</v>
      </c>
      <c r="I106" s="98">
        <v>5</v>
      </c>
      <c r="J106" s="98">
        <v>7</v>
      </c>
      <c r="K106" s="98"/>
      <c r="L106" s="100">
        <f t="shared" si="1"/>
        <v>6.6</v>
      </c>
      <c r="M106" s="101" t="s">
        <v>848</v>
      </c>
      <c r="N106" s="92"/>
      <c r="O106" s="65"/>
      <c r="P106" s="65"/>
      <c r="Q106" s="65"/>
      <c r="R106" s="65"/>
    </row>
    <row r="107" spans="1:14" s="65" customFormat="1" ht="24.75" customHeight="1">
      <c r="A107" s="112">
        <v>86</v>
      </c>
      <c r="B107" s="95" t="s">
        <v>952</v>
      </c>
      <c r="C107" s="96" t="s">
        <v>170</v>
      </c>
      <c r="D107" s="97" t="s">
        <v>171</v>
      </c>
      <c r="E107" s="112" t="s">
        <v>534</v>
      </c>
      <c r="F107" s="143" t="s">
        <v>1290</v>
      </c>
      <c r="G107" s="99">
        <v>6</v>
      </c>
      <c r="H107" s="99">
        <v>7</v>
      </c>
      <c r="I107" s="99">
        <v>0</v>
      </c>
      <c r="J107" s="99">
        <v>4</v>
      </c>
      <c r="K107" s="99"/>
      <c r="L107" s="100">
        <f t="shared" si="1"/>
        <v>3.7</v>
      </c>
      <c r="M107" s="113" t="s">
        <v>848</v>
      </c>
      <c r="N107" s="92" t="s">
        <v>1349</v>
      </c>
    </row>
    <row r="108" spans="1:18" s="68" customFormat="1" ht="24.75" customHeight="1">
      <c r="A108" s="94">
        <v>87</v>
      </c>
      <c r="B108" s="95" t="s">
        <v>953</v>
      </c>
      <c r="C108" s="96" t="s">
        <v>167</v>
      </c>
      <c r="D108" s="97" t="s">
        <v>66</v>
      </c>
      <c r="E108" s="94" t="s">
        <v>535</v>
      </c>
      <c r="F108" s="143" t="s">
        <v>1290</v>
      </c>
      <c r="G108" s="98">
        <v>6</v>
      </c>
      <c r="H108" s="99">
        <v>8</v>
      </c>
      <c r="I108" s="98">
        <v>5</v>
      </c>
      <c r="J108" s="98">
        <v>3</v>
      </c>
      <c r="K108" s="98"/>
      <c r="L108" s="100">
        <f t="shared" si="1"/>
        <v>4.2</v>
      </c>
      <c r="M108" s="101" t="s">
        <v>848</v>
      </c>
      <c r="N108" s="92"/>
      <c r="O108" s="65"/>
      <c r="P108" s="65"/>
      <c r="Q108" s="65"/>
      <c r="R108" s="65"/>
    </row>
    <row r="109" spans="1:18" s="66" customFormat="1" ht="24.75" customHeight="1">
      <c r="A109" s="114">
        <v>88</v>
      </c>
      <c r="B109" s="105" t="s">
        <v>954</v>
      </c>
      <c r="C109" s="106" t="s">
        <v>82</v>
      </c>
      <c r="D109" s="107" t="s">
        <v>168</v>
      </c>
      <c r="E109" s="114" t="s">
        <v>532</v>
      </c>
      <c r="F109" s="144" t="s">
        <v>1290</v>
      </c>
      <c r="G109" s="115"/>
      <c r="H109" s="108"/>
      <c r="I109" s="115"/>
      <c r="J109" s="115"/>
      <c r="K109" s="115"/>
      <c r="L109" s="109">
        <f t="shared" si="1"/>
        <v>0</v>
      </c>
      <c r="M109" s="116" t="s">
        <v>848</v>
      </c>
      <c r="N109" s="111" t="s">
        <v>1345</v>
      </c>
      <c r="O109" s="79"/>
      <c r="P109" s="79"/>
      <c r="Q109" s="79"/>
      <c r="R109" s="79"/>
    </row>
    <row r="110" spans="1:18" s="64" customFormat="1" ht="24.75" customHeight="1">
      <c r="A110" s="94">
        <v>89</v>
      </c>
      <c r="B110" s="95" t="s">
        <v>955</v>
      </c>
      <c r="C110" s="117" t="s">
        <v>208</v>
      </c>
      <c r="D110" s="118" t="s">
        <v>121</v>
      </c>
      <c r="E110" s="94" t="s">
        <v>739</v>
      </c>
      <c r="F110" s="143" t="s">
        <v>1290</v>
      </c>
      <c r="G110" s="98">
        <v>6</v>
      </c>
      <c r="H110" s="99">
        <v>8</v>
      </c>
      <c r="I110" s="98">
        <v>4</v>
      </c>
      <c r="J110" s="98">
        <v>0</v>
      </c>
      <c r="K110" s="98"/>
      <c r="L110" s="100">
        <f t="shared" si="1"/>
        <v>2.2</v>
      </c>
      <c r="M110" s="101" t="s">
        <v>848</v>
      </c>
      <c r="N110" s="92" t="s">
        <v>1350</v>
      </c>
      <c r="O110" s="65"/>
      <c r="P110" s="65"/>
      <c r="Q110" s="65"/>
      <c r="R110" s="65"/>
    </row>
    <row r="111" spans="1:14" s="65" customFormat="1" ht="24.75" customHeight="1">
      <c r="A111" s="94">
        <v>90</v>
      </c>
      <c r="B111" s="95" t="s">
        <v>956</v>
      </c>
      <c r="C111" s="96" t="s">
        <v>155</v>
      </c>
      <c r="D111" s="97" t="s">
        <v>119</v>
      </c>
      <c r="E111" s="112" t="s">
        <v>537</v>
      </c>
      <c r="F111" s="143" t="s">
        <v>1290</v>
      </c>
      <c r="G111" s="99">
        <v>6</v>
      </c>
      <c r="H111" s="99">
        <v>9</v>
      </c>
      <c r="I111" s="99">
        <v>9</v>
      </c>
      <c r="J111" s="99">
        <v>8</v>
      </c>
      <c r="K111" s="99"/>
      <c r="L111" s="100">
        <f t="shared" si="1"/>
        <v>8.1</v>
      </c>
      <c r="M111" s="113" t="s">
        <v>848</v>
      </c>
      <c r="N111" s="92"/>
    </row>
    <row r="112" spans="1:18" s="66" customFormat="1" ht="24.75" customHeight="1">
      <c r="A112" s="114">
        <v>91</v>
      </c>
      <c r="B112" s="105" t="s">
        <v>957</v>
      </c>
      <c r="C112" s="106" t="s">
        <v>180</v>
      </c>
      <c r="D112" s="107" t="s">
        <v>119</v>
      </c>
      <c r="E112" s="114" t="s">
        <v>544</v>
      </c>
      <c r="F112" s="144" t="s">
        <v>1290</v>
      </c>
      <c r="G112" s="115"/>
      <c r="H112" s="108"/>
      <c r="I112" s="115"/>
      <c r="J112" s="115"/>
      <c r="K112" s="115"/>
      <c r="L112" s="109">
        <f t="shared" si="1"/>
        <v>0</v>
      </c>
      <c r="M112" s="116" t="s">
        <v>848</v>
      </c>
      <c r="N112" s="111" t="s">
        <v>1343</v>
      </c>
      <c r="O112" s="79"/>
      <c r="P112" s="79"/>
      <c r="Q112" s="79"/>
      <c r="R112" s="79"/>
    </row>
    <row r="113" spans="1:18" s="64" customFormat="1" ht="24.75" customHeight="1">
      <c r="A113" s="94">
        <v>92</v>
      </c>
      <c r="B113" s="95" t="s">
        <v>958</v>
      </c>
      <c r="C113" s="96" t="s">
        <v>169</v>
      </c>
      <c r="D113" s="97" t="s">
        <v>72</v>
      </c>
      <c r="E113" s="94" t="s">
        <v>533</v>
      </c>
      <c r="F113" s="143" t="s">
        <v>1290</v>
      </c>
      <c r="G113" s="98">
        <v>6</v>
      </c>
      <c r="H113" s="99">
        <v>8</v>
      </c>
      <c r="I113" s="98">
        <v>5</v>
      </c>
      <c r="J113" s="98">
        <v>5</v>
      </c>
      <c r="K113" s="98"/>
      <c r="L113" s="100">
        <f t="shared" si="1"/>
        <v>5.4</v>
      </c>
      <c r="M113" s="101" t="s">
        <v>848</v>
      </c>
      <c r="N113" s="92"/>
      <c r="O113" s="65"/>
      <c r="P113" s="65"/>
      <c r="Q113" s="65"/>
      <c r="R113" s="65"/>
    </row>
    <row r="114" spans="1:18" s="64" customFormat="1" ht="24.75" customHeight="1">
      <c r="A114" s="94">
        <v>93</v>
      </c>
      <c r="B114" s="95" t="s">
        <v>959</v>
      </c>
      <c r="C114" s="96" t="s">
        <v>164</v>
      </c>
      <c r="D114" s="97" t="s">
        <v>105</v>
      </c>
      <c r="E114" s="94" t="s">
        <v>486</v>
      </c>
      <c r="F114" s="143" t="s">
        <v>1290</v>
      </c>
      <c r="G114" s="98">
        <v>6</v>
      </c>
      <c r="H114" s="99">
        <v>8</v>
      </c>
      <c r="I114" s="98">
        <v>4</v>
      </c>
      <c r="J114" s="98">
        <v>6</v>
      </c>
      <c r="K114" s="98"/>
      <c r="L114" s="100">
        <f t="shared" si="1"/>
        <v>5.8</v>
      </c>
      <c r="M114" s="101" t="s">
        <v>848</v>
      </c>
      <c r="N114" s="92"/>
      <c r="O114" s="65"/>
      <c r="P114" s="65"/>
      <c r="Q114" s="65"/>
      <c r="R114" s="65"/>
    </row>
    <row r="115" spans="1:18" s="64" customFormat="1" ht="24.75" customHeight="1">
      <c r="A115" s="94">
        <v>94</v>
      </c>
      <c r="B115" s="95" t="s">
        <v>960</v>
      </c>
      <c r="C115" s="117" t="s">
        <v>234</v>
      </c>
      <c r="D115" s="118" t="s">
        <v>332</v>
      </c>
      <c r="E115" s="94" t="s">
        <v>692</v>
      </c>
      <c r="F115" s="143" t="s">
        <v>1291</v>
      </c>
      <c r="G115" s="98">
        <v>7</v>
      </c>
      <c r="H115" s="99">
        <v>7</v>
      </c>
      <c r="I115" s="98">
        <v>7</v>
      </c>
      <c r="J115" s="98">
        <v>8</v>
      </c>
      <c r="K115" s="98"/>
      <c r="L115" s="100">
        <f t="shared" si="1"/>
        <v>7.6</v>
      </c>
      <c r="M115" s="101" t="s">
        <v>859</v>
      </c>
      <c r="N115" s="92"/>
      <c r="O115" s="65"/>
      <c r="P115" s="65"/>
      <c r="Q115" s="65"/>
      <c r="R115" s="65"/>
    </row>
    <row r="116" spans="1:18" s="64" customFormat="1" ht="24.75" customHeight="1">
      <c r="A116" s="94">
        <v>95</v>
      </c>
      <c r="B116" s="95" t="s">
        <v>961</v>
      </c>
      <c r="C116" s="117" t="s">
        <v>334</v>
      </c>
      <c r="D116" s="118" t="s">
        <v>45</v>
      </c>
      <c r="E116" s="94" t="s">
        <v>814</v>
      </c>
      <c r="F116" s="143" t="s">
        <v>1291</v>
      </c>
      <c r="G116" s="98">
        <v>7</v>
      </c>
      <c r="H116" s="99">
        <v>7</v>
      </c>
      <c r="I116" s="98">
        <v>7</v>
      </c>
      <c r="J116" s="98">
        <v>7</v>
      </c>
      <c r="K116" s="98"/>
      <c r="L116" s="100">
        <f t="shared" si="1"/>
        <v>7</v>
      </c>
      <c r="M116" s="101" t="s">
        <v>860</v>
      </c>
      <c r="N116" s="92"/>
      <c r="O116" s="65"/>
      <c r="P116" s="65"/>
      <c r="Q116" s="65"/>
      <c r="R116" s="65"/>
    </row>
    <row r="117" spans="1:18" s="64" customFormat="1" ht="24.75" customHeight="1">
      <c r="A117" s="94">
        <v>96</v>
      </c>
      <c r="B117" s="95" t="s">
        <v>962</v>
      </c>
      <c r="C117" s="117" t="s">
        <v>446</v>
      </c>
      <c r="D117" s="118" t="s">
        <v>48</v>
      </c>
      <c r="E117" s="94" t="s">
        <v>807</v>
      </c>
      <c r="F117" s="143" t="s">
        <v>1291</v>
      </c>
      <c r="G117" s="98">
        <v>6</v>
      </c>
      <c r="H117" s="99">
        <v>9</v>
      </c>
      <c r="I117" s="98">
        <v>6</v>
      </c>
      <c r="J117" s="98">
        <v>9</v>
      </c>
      <c r="K117" s="98"/>
      <c r="L117" s="100">
        <f t="shared" si="1"/>
        <v>8.1</v>
      </c>
      <c r="M117" s="101" t="s">
        <v>859</v>
      </c>
      <c r="N117" s="92"/>
      <c r="O117" s="65"/>
      <c r="P117" s="65"/>
      <c r="Q117" s="65"/>
      <c r="R117" s="65"/>
    </row>
    <row r="118" spans="1:14" s="65" customFormat="1" ht="24.75" customHeight="1">
      <c r="A118" s="94">
        <v>97</v>
      </c>
      <c r="B118" s="95" t="s">
        <v>963</v>
      </c>
      <c r="C118" s="122" t="s">
        <v>155</v>
      </c>
      <c r="D118" s="123" t="s">
        <v>53</v>
      </c>
      <c r="E118" s="112" t="s">
        <v>806</v>
      </c>
      <c r="F118" s="143" t="s">
        <v>1291</v>
      </c>
      <c r="G118" s="99">
        <v>6</v>
      </c>
      <c r="H118" s="99">
        <v>7</v>
      </c>
      <c r="I118" s="99">
        <v>4</v>
      </c>
      <c r="J118" s="99">
        <v>3</v>
      </c>
      <c r="K118" s="99"/>
      <c r="L118" s="100">
        <f t="shared" si="1"/>
        <v>3.9</v>
      </c>
      <c r="M118" s="113" t="s">
        <v>859</v>
      </c>
      <c r="N118" s="92"/>
    </row>
    <row r="119" spans="1:18" s="64" customFormat="1" ht="24.75" customHeight="1">
      <c r="A119" s="94">
        <v>98</v>
      </c>
      <c r="B119" s="95" t="s">
        <v>964</v>
      </c>
      <c r="C119" s="117" t="s">
        <v>330</v>
      </c>
      <c r="D119" s="118" t="s">
        <v>84</v>
      </c>
      <c r="E119" s="94" t="s">
        <v>717</v>
      </c>
      <c r="F119" s="143" t="s">
        <v>1291</v>
      </c>
      <c r="G119" s="98">
        <v>6</v>
      </c>
      <c r="H119" s="99">
        <v>7</v>
      </c>
      <c r="I119" s="98">
        <v>4</v>
      </c>
      <c r="J119" s="98">
        <v>6</v>
      </c>
      <c r="K119" s="98"/>
      <c r="L119" s="100">
        <f t="shared" si="1"/>
        <v>5.7</v>
      </c>
      <c r="M119" s="101" t="s">
        <v>859</v>
      </c>
      <c r="N119" s="92"/>
      <c r="O119" s="65"/>
      <c r="P119" s="65"/>
      <c r="Q119" s="65"/>
      <c r="R119" s="65"/>
    </row>
    <row r="120" spans="1:18" s="64" customFormat="1" ht="24.75" customHeight="1">
      <c r="A120" s="94">
        <v>99</v>
      </c>
      <c r="B120" s="95" t="s">
        <v>965</v>
      </c>
      <c r="C120" s="117" t="s">
        <v>130</v>
      </c>
      <c r="D120" s="118" t="s">
        <v>55</v>
      </c>
      <c r="E120" s="94" t="s">
        <v>787</v>
      </c>
      <c r="F120" s="143" t="s">
        <v>1291</v>
      </c>
      <c r="G120" s="98">
        <v>7</v>
      </c>
      <c r="H120" s="99">
        <v>8</v>
      </c>
      <c r="I120" s="98">
        <v>6.5</v>
      </c>
      <c r="J120" s="98">
        <v>8</v>
      </c>
      <c r="K120" s="98"/>
      <c r="L120" s="100">
        <f t="shared" si="1"/>
        <v>7.6</v>
      </c>
      <c r="M120" s="101" t="s">
        <v>859</v>
      </c>
      <c r="N120" s="92"/>
      <c r="O120" s="65"/>
      <c r="P120" s="65"/>
      <c r="Q120" s="65"/>
      <c r="R120" s="65"/>
    </row>
    <row r="121" spans="1:18" s="64" customFormat="1" ht="24.75" customHeight="1">
      <c r="A121" s="94">
        <v>100</v>
      </c>
      <c r="B121" s="95" t="s">
        <v>966</v>
      </c>
      <c r="C121" s="117" t="s">
        <v>155</v>
      </c>
      <c r="D121" s="118" t="s">
        <v>58</v>
      </c>
      <c r="E121" s="94" t="s">
        <v>811</v>
      </c>
      <c r="F121" s="143" t="s">
        <v>1291</v>
      </c>
      <c r="G121" s="98">
        <v>6</v>
      </c>
      <c r="H121" s="99">
        <v>7</v>
      </c>
      <c r="I121" s="98">
        <v>5.5</v>
      </c>
      <c r="J121" s="98">
        <v>7</v>
      </c>
      <c r="K121" s="98"/>
      <c r="L121" s="100">
        <f t="shared" si="1"/>
        <v>6.6</v>
      </c>
      <c r="M121" s="101" t="s">
        <v>859</v>
      </c>
      <c r="N121" s="92"/>
      <c r="O121" s="65"/>
      <c r="P121" s="65"/>
      <c r="Q121" s="65"/>
      <c r="R121" s="65"/>
    </row>
    <row r="122" spans="1:18" s="64" customFormat="1" ht="24.75" customHeight="1">
      <c r="A122" s="94">
        <v>101</v>
      </c>
      <c r="B122" s="95" t="s">
        <v>967</v>
      </c>
      <c r="C122" s="117" t="s">
        <v>41</v>
      </c>
      <c r="D122" s="118" t="s">
        <v>116</v>
      </c>
      <c r="E122" s="94" t="s">
        <v>808</v>
      </c>
      <c r="F122" s="143" t="s">
        <v>1291</v>
      </c>
      <c r="G122" s="98">
        <v>7</v>
      </c>
      <c r="H122" s="99">
        <v>8</v>
      </c>
      <c r="I122" s="98">
        <v>7</v>
      </c>
      <c r="J122" s="98">
        <v>7</v>
      </c>
      <c r="K122" s="98"/>
      <c r="L122" s="100">
        <f t="shared" si="1"/>
        <v>7.1</v>
      </c>
      <c r="M122" s="101" t="s">
        <v>859</v>
      </c>
      <c r="N122" s="92"/>
      <c r="O122" s="65"/>
      <c r="P122" s="65"/>
      <c r="Q122" s="65"/>
      <c r="R122" s="65"/>
    </row>
    <row r="123" spans="1:18" s="64" customFormat="1" ht="24.75" customHeight="1">
      <c r="A123" s="94">
        <v>102</v>
      </c>
      <c r="B123" s="95" t="s">
        <v>968</v>
      </c>
      <c r="C123" s="117" t="s">
        <v>172</v>
      </c>
      <c r="D123" s="118" t="s">
        <v>331</v>
      </c>
      <c r="E123" s="94" t="s">
        <v>665</v>
      </c>
      <c r="F123" s="143" t="s">
        <v>1291</v>
      </c>
      <c r="G123" s="98">
        <v>7</v>
      </c>
      <c r="H123" s="99">
        <v>8</v>
      </c>
      <c r="I123" s="98">
        <v>6</v>
      </c>
      <c r="J123" s="98">
        <v>8</v>
      </c>
      <c r="K123" s="98"/>
      <c r="L123" s="100">
        <f t="shared" si="1"/>
        <v>7.5</v>
      </c>
      <c r="M123" s="101" t="s">
        <v>859</v>
      </c>
      <c r="N123" s="92"/>
      <c r="O123" s="65"/>
      <c r="P123" s="65"/>
      <c r="Q123" s="65"/>
      <c r="R123" s="65"/>
    </row>
    <row r="124" spans="1:18" s="64" customFormat="1" ht="24.75" customHeight="1">
      <c r="A124" s="94">
        <v>103</v>
      </c>
      <c r="B124" s="95" t="s">
        <v>969</v>
      </c>
      <c r="C124" s="117" t="s">
        <v>447</v>
      </c>
      <c r="D124" s="118" t="s">
        <v>98</v>
      </c>
      <c r="E124" s="94" t="s">
        <v>810</v>
      </c>
      <c r="F124" s="143" t="s">
        <v>1291</v>
      </c>
      <c r="G124" s="98">
        <v>6</v>
      </c>
      <c r="H124" s="99">
        <v>6</v>
      </c>
      <c r="I124" s="98">
        <v>5</v>
      </c>
      <c r="J124" s="98">
        <v>3</v>
      </c>
      <c r="K124" s="98"/>
      <c r="L124" s="100">
        <f t="shared" si="1"/>
        <v>4</v>
      </c>
      <c r="M124" s="101" t="s">
        <v>859</v>
      </c>
      <c r="N124" s="92"/>
      <c r="O124" s="65"/>
      <c r="P124" s="65"/>
      <c r="Q124" s="65"/>
      <c r="R124" s="65"/>
    </row>
    <row r="125" spans="1:18" s="68" customFormat="1" ht="24.75" customHeight="1">
      <c r="A125" s="94">
        <v>104</v>
      </c>
      <c r="B125" s="95" t="s">
        <v>970</v>
      </c>
      <c r="C125" s="117" t="s">
        <v>448</v>
      </c>
      <c r="D125" s="118" t="s">
        <v>112</v>
      </c>
      <c r="E125" s="94" t="s">
        <v>813</v>
      </c>
      <c r="F125" s="143" t="s">
        <v>1291</v>
      </c>
      <c r="G125" s="98">
        <v>6</v>
      </c>
      <c r="H125" s="99">
        <v>8</v>
      </c>
      <c r="I125" s="98">
        <v>5.5</v>
      </c>
      <c r="J125" s="98">
        <v>7</v>
      </c>
      <c r="K125" s="98"/>
      <c r="L125" s="100">
        <f t="shared" si="1"/>
        <v>6.7</v>
      </c>
      <c r="M125" s="101" t="s">
        <v>859</v>
      </c>
      <c r="N125" s="92"/>
      <c r="O125" s="65"/>
      <c r="P125" s="65"/>
      <c r="Q125" s="65"/>
      <c r="R125" s="65"/>
    </row>
    <row r="126" spans="1:18" s="68" customFormat="1" ht="24.75" customHeight="1">
      <c r="A126" s="94">
        <v>105</v>
      </c>
      <c r="B126" s="95" t="s">
        <v>971</v>
      </c>
      <c r="C126" s="117" t="s">
        <v>335</v>
      </c>
      <c r="D126" s="118" t="s">
        <v>336</v>
      </c>
      <c r="E126" s="94" t="s">
        <v>815</v>
      </c>
      <c r="F126" s="143" t="s">
        <v>1291</v>
      </c>
      <c r="G126" s="98">
        <v>6</v>
      </c>
      <c r="H126" s="99">
        <v>7</v>
      </c>
      <c r="I126" s="98">
        <v>5</v>
      </c>
      <c r="J126" s="98">
        <v>6</v>
      </c>
      <c r="K126" s="98"/>
      <c r="L126" s="100">
        <f t="shared" si="1"/>
        <v>5.9</v>
      </c>
      <c r="M126" s="101" t="s">
        <v>860</v>
      </c>
      <c r="N126" s="92"/>
      <c r="O126" s="65"/>
      <c r="P126" s="65"/>
      <c r="Q126" s="65"/>
      <c r="R126" s="65"/>
    </row>
    <row r="127" spans="1:18" s="64" customFormat="1" ht="24.75" customHeight="1">
      <c r="A127" s="94">
        <v>106</v>
      </c>
      <c r="B127" s="95" t="s">
        <v>972</v>
      </c>
      <c r="C127" s="117" t="s">
        <v>329</v>
      </c>
      <c r="D127" s="118" t="s">
        <v>119</v>
      </c>
      <c r="E127" s="94" t="s">
        <v>805</v>
      </c>
      <c r="F127" s="143" t="s">
        <v>1291</v>
      </c>
      <c r="G127" s="98">
        <v>7</v>
      </c>
      <c r="H127" s="99">
        <v>7</v>
      </c>
      <c r="I127" s="98">
        <v>7</v>
      </c>
      <c r="J127" s="98">
        <v>5</v>
      </c>
      <c r="K127" s="98"/>
      <c r="L127" s="100">
        <f t="shared" si="1"/>
        <v>5.8</v>
      </c>
      <c r="M127" s="101" t="s">
        <v>859</v>
      </c>
      <c r="N127" s="92"/>
      <c r="O127" s="65"/>
      <c r="P127" s="65"/>
      <c r="Q127" s="65"/>
      <c r="R127" s="65"/>
    </row>
    <row r="128" spans="1:18" s="68" customFormat="1" ht="24.75" customHeight="1">
      <c r="A128" s="94">
        <v>107</v>
      </c>
      <c r="B128" s="95" t="s">
        <v>973</v>
      </c>
      <c r="C128" s="117" t="s">
        <v>441</v>
      </c>
      <c r="D128" s="118" t="s">
        <v>333</v>
      </c>
      <c r="E128" s="94" t="s">
        <v>812</v>
      </c>
      <c r="F128" s="143" t="s">
        <v>1291</v>
      </c>
      <c r="G128" s="98">
        <v>7</v>
      </c>
      <c r="H128" s="99">
        <v>7</v>
      </c>
      <c r="I128" s="98">
        <v>7</v>
      </c>
      <c r="J128" s="98">
        <v>7</v>
      </c>
      <c r="K128" s="98"/>
      <c r="L128" s="100">
        <f t="shared" si="1"/>
        <v>7</v>
      </c>
      <c r="M128" s="101" t="s">
        <v>859</v>
      </c>
      <c r="N128" s="92"/>
      <c r="O128" s="65"/>
      <c r="P128" s="65"/>
      <c r="Q128" s="65"/>
      <c r="R128" s="65"/>
    </row>
    <row r="129" spans="1:18" s="68" customFormat="1" ht="24.75" customHeight="1">
      <c r="A129" s="94">
        <v>108</v>
      </c>
      <c r="B129" s="95" t="s">
        <v>974</v>
      </c>
      <c r="C129" s="117" t="s">
        <v>41</v>
      </c>
      <c r="D129" s="118" t="s">
        <v>104</v>
      </c>
      <c r="E129" s="94" t="s">
        <v>809</v>
      </c>
      <c r="F129" s="143" t="s">
        <v>1291</v>
      </c>
      <c r="G129" s="98">
        <v>8</v>
      </c>
      <c r="H129" s="99">
        <v>7</v>
      </c>
      <c r="I129" s="98">
        <v>8</v>
      </c>
      <c r="J129" s="98">
        <v>6</v>
      </c>
      <c r="K129" s="98"/>
      <c r="L129" s="100">
        <f t="shared" si="1"/>
        <v>6.7</v>
      </c>
      <c r="M129" s="101" t="s">
        <v>859</v>
      </c>
      <c r="N129" s="92"/>
      <c r="O129" s="65"/>
      <c r="P129" s="65"/>
      <c r="Q129" s="65"/>
      <c r="R129" s="65"/>
    </row>
    <row r="130" spans="1:18" s="64" customFormat="1" ht="24.75" customHeight="1">
      <c r="A130" s="94">
        <v>109</v>
      </c>
      <c r="B130" s="95" t="s">
        <v>975</v>
      </c>
      <c r="C130" s="96" t="s">
        <v>73</v>
      </c>
      <c r="D130" s="97" t="s">
        <v>158</v>
      </c>
      <c r="E130" s="94" t="s">
        <v>523</v>
      </c>
      <c r="F130" s="143" t="s">
        <v>1292</v>
      </c>
      <c r="G130" s="98">
        <v>6</v>
      </c>
      <c r="H130" s="99">
        <v>8</v>
      </c>
      <c r="I130" s="98">
        <v>4</v>
      </c>
      <c r="J130" s="98">
        <v>4</v>
      </c>
      <c r="K130" s="98"/>
      <c r="L130" s="100">
        <f t="shared" si="1"/>
        <v>4.6</v>
      </c>
      <c r="M130" s="101" t="s">
        <v>1323</v>
      </c>
      <c r="N130" s="92"/>
      <c r="O130" s="65"/>
      <c r="P130" s="65"/>
      <c r="Q130" s="65"/>
      <c r="R130" s="65"/>
    </row>
    <row r="131" spans="1:14" s="65" customFormat="1" ht="24.75" customHeight="1">
      <c r="A131" s="112">
        <v>110</v>
      </c>
      <c r="B131" s="95" t="s">
        <v>976</v>
      </c>
      <c r="C131" s="96" t="s">
        <v>155</v>
      </c>
      <c r="D131" s="97" t="s">
        <v>48</v>
      </c>
      <c r="E131" s="112" t="s">
        <v>525</v>
      </c>
      <c r="F131" s="143" t="s">
        <v>1292</v>
      </c>
      <c r="G131" s="99">
        <v>7</v>
      </c>
      <c r="H131" s="99">
        <v>7</v>
      </c>
      <c r="I131" s="99">
        <v>6.5</v>
      </c>
      <c r="J131" s="99">
        <v>8</v>
      </c>
      <c r="K131" s="99"/>
      <c r="L131" s="100">
        <f t="shared" si="1"/>
        <v>7.5</v>
      </c>
      <c r="M131" s="113" t="s">
        <v>1323</v>
      </c>
      <c r="N131" s="92" t="s">
        <v>1341</v>
      </c>
    </row>
    <row r="132" spans="1:18" s="64" customFormat="1" ht="24.75" customHeight="1">
      <c r="A132" s="94">
        <v>111</v>
      </c>
      <c r="B132" s="95" t="s">
        <v>977</v>
      </c>
      <c r="C132" s="96" t="s">
        <v>87</v>
      </c>
      <c r="D132" s="97" t="s">
        <v>132</v>
      </c>
      <c r="E132" s="94" t="s">
        <v>527</v>
      </c>
      <c r="F132" s="143" t="s">
        <v>1292</v>
      </c>
      <c r="G132" s="98">
        <v>6</v>
      </c>
      <c r="H132" s="99">
        <v>8</v>
      </c>
      <c r="I132" s="98">
        <v>2.5</v>
      </c>
      <c r="J132" s="98">
        <v>7</v>
      </c>
      <c r="K132" s="98"/>
      <c r="L132" s="100">
        <f t="shared" si="1"/>
        <v>6.1</v>
      </c>
      <c r="M132" s="101" t="s">
        <v>1323</v>
      </c>
      <c r="N132" s="92"/>
      <c r="O132" s="65"/>
      <c r="P132" s="65"/>
      <c r="Q132" s="65"/>
      <c r="R132" s="65"/>
    </row>
    <row r="133" spans="1:18" s="64" customFormat="1" ht="24.75" customHeight="1">
      <c r="A133" s="94">
        <v>112</v>
      </c>
      <c r="B133" s="95" t="s">
        <v>978</v>
      </c>
      <c r="C133" s="96" t="s">
        <v>161</v>
      </c>
      <c r="D133" s="97" t="s">
        <v>162</v>
      </c>
      <c r="E133" s="94" t="s">
        <v>526</v>
      </c>
      <c r="F133" s="143" t="s">
        <v>1292</v>
      </c>
      <c r="G133" s="98">
        <v>6</v>
      </c>
      <c r="H133" s="99">
        <v>8</v>
      </c>
      <c r="I133" s="98">
        <v>5</v>
      </c>
      <c r="J133" s="98">
        <v>8</v>
      </c>
      <c r="K133" s="98"/>
      <c r="L133" s="100">
        <f t="shared" si="1"/>
        <v>7.2</v>
      </c>
      <c r="M133" s="101" t="s">
        <v>1323</v>
      </c>
      <c r="N133" s="92"/>
      <c r="O133" s="65"/>
      <c r="P133" s="65"/>
      <c r="Q133" s="65"/>
      <c r="R133" s="65"/>
    </row>
    <row r="134" spans="1:14" s="65" customFormat="1" ht="24.75" customHeight="1">
      <c r="A134" s="112">
        <v>113</v>
      </c>
      <c r="B134" s="95" t="s">
        <v>979</v>
      </c>
      <c r="C134" s="96" t="s">
        <v>159</v>
      </c>
      <c r="D134" s="97" t="s">
        <v>160</v>
      </c>
      <c r="E134" s="112" t="s">
        <v>524</v>
      </c>
      <c r="F134" s="143" t="s">
        <v>1292</v>
      </c>
      <c r="G134" s="99">
        <v>7</v>
      </c>
      <c r="H134" s="99">
        <v>8</v>
      </c>
      <c r="I134" s="99">
        <v>0</v>
      </c>
      <c r="J134" s="99">
        <v>8</v>
      </c>
      <c r="K134" s="99"/>
      <c r="L134" s="100">
        <f t="shared" si="1"/>
        <v>6.3</v>
      </c>
      <c r="M134" s="113" t="s">
        <v>1323</v>
      </c>
      <c r="N134" s="92" t="s">
        <v>1342</v>
      </c>
    </row>
    <row r="135" spans="1:18" s="64" customFormat="1" ht="24.75" customHeight="1">
      <c r="A135" s="94">
        <v>114</v>
      </c>
      <c r="B135" s="95" t="s">
        <v>980</v>
      </c>
      <c r="C135" s="117" t="s">
        <v>43</v>
      </c>
      <c r="D135" s="118" t="s">
        <v>226</v>
      </c>
      <c r="E135" s="94" t="s">
        <v>612</v>
      </c>
      <c r="F135" s="143" t="s">
        <v>1293</v>
      </c>
      <c r="G135" s="98">
        <v>6</v>
      </c>
      <c r="H135" s="99">
        <v>7</v>
      </c>
      <c r="I135" s="98">
        <v>7</v>
      </c>
      <c r="J135" s="98">
        <v>9</v>
      </c>
      <c r="K135" s="98"/>
      <c r="L135" s="100">
        <f t="shared" si="1"/>
        <v>8.1</v>
      </c>
      <c r="M135" s="101" t="s">
        <v>853</v>
      </c>
      <c r="N135" s="92"/>
      <c r="O135" s="65"/>
      <c r="P135" s="65"/>
      <c r="Q135" s="65"/>
      <c r="R135" s="65"/>
    </row>
    <row r="136" spans="1:18" s="64" customFormat="1" ht="24.75" customHeight="1">
      <c r="A136" s="94">
        <v>115</v>
      </c>
      <c r="B136" s="95" t="s">
        <v>981</v>
      </c>
      <c r="C136" s="117" t="s">
        <v>71</v>
      </c>
      <c r="D136" s="118" t="s">
        <v>225</v>
      </c>
      <c r="E136" s="94" t="s">
        <v>611</v>
      </c>
      <c r="F136" s="143" t="s">
        <v>1293</v>
      </c>
      <c r="G136" s="98">
        <v>8</v>
      </c>
      <c r="H136" s="99">
        <v>8</v>
      </c>
      <c r="I136" s="98">
        <v>8</v>
      </c>
      <c r="J136" s="98">
        <v>7</v>
      </c>
      <c r="K136" s="98"/>
      <c r="L136" s="100">
        <f t="shared" si="1"/>
        <v>7.4</v>
      </c>
      <c r="M136" s="101" t="s">
        <v>853</v>
      </c>
      <c r="N136" s="92"/>
      <c r="O136" s="65"/>
      <c r="P136" s="65"/>
      <c r="Q136" s="65"/>
      <c r="R136" s="65"/>
    </row>
    <row r="137" spans="1:18" s="64" customFormat="1" ht="24.75" customHeight="1">
      <c r="A137" s="94">
        <v>116</v>
      </c>
      <c r="B137" s="95" t="s">
        <v>982</v>
      </c>
      <c r="C137" s="117" t="s">
        <v>385</v>
      </c>
      <c r="D137" s="118" t="s">
        <v>386</v>
      </c>
      <c r="E137" s="94" t="s">
        <v>552</v>
      </c>
      <c r="F137" s="143" t="s">
        <v>1294</v>
      </c>
      <c r="G137" s="98">
        <v>6</v>
      </c>
      <c r="H137" s="99">
        <v>8</v>
      </c>
      <c r="I137" s="98">
        <v>6</v>
      </c>
      <c r="J137" s="98">
        <v>7</v>
      </c>
      <c r="K137" s="98"/>
      <c r="L137" s="100">
        <f t="shared" si="1"/>
        <v>6.8</v>
      </c>
      <c r="M137" s="101" t="s">
        <v>1324</v>
      </c>
      <c r="N137" s="92"/>
      <c r="O137" s="65"/>
      <c r="P137" s="65"/>
      <c r="Q137" s="65"/>
      <c r="R137" s="65"/>
    </row>
    <row r="138" spans="1:18" s="66" customFormat="1" ht="24.75" customHeight="1">
      <c r="A138" s="94">
        <v>117</v>
      </c>
      <c r="B138" s="105" t="s">
        <v>983</v>
      </c>
      <c r="C138" s="106" t="s">
        <v>186</v>
      </c>
      <c r="D138" s="107" t="s">
        <v>187</v>
      </c>
      <c r="E138" s="114" t="s">
        <v>549</v>
      </c>
      <c r="F138" s="144" t="s">
        <v>1294</v>
      </c>
      <c r="G138" s="115"/>
      <c r="H138" s="108"/>
      <c r="I138" s="115"/>
      <c r="J138" s="115"/>
      <c r="K138" s="115"/>
      <c r="L138" s="109">
        <f t="shared" si="1"/>
        <v>0</v>
      </c>
      <c r="M138" s="116" t="s">
        <v>1324</v>
      </c>
      <c r="N138" s="111" t="s">
        <v>1343</v>
      </c>
      <c r="O138" s="79"/>
      <c r="P138" s="79"/>
      <c r="Q138" s="79"/>
      <c r="R138" s="79"/>
    </row>
    <row r="139" spans="1:18" s="66" customFormat="1" ht="24.75" customHeight="1">
      <c r="A139" s="114">
        <v>118</v>
      </c>
      <c r="B139" s="105" t="s">
        <v>984</v>
      </c>
      <c r="C139" s="106" t="s">
        <v>41</v>
      </c>
      <c r="D139" s="107" t="s">
        <v>182</v>
      </c>
      <c r="E139" s="114" t="s">
        <v>546</v>
      </c>
      <c r="F139" s="144" t="s">
        <v>1294</v>
      </c>
      <c r="G139" s="115"/>
      <c r="H139" s="108"/>
      <c r="I139" s="115"/>
      <c r="J139" s="115"/>
      <c r="K139" s="115"/>
      <c r="L139" s="109">
        <f t="shared" si="1"/>
        <v>0</v>
      </c>
      <c r="M139" s="116" t="s">
        <v>1324</v>
      </c>
      <c r="N139" s="111" t="s">
        <v>1346</v>
      </c>
      <c r="O139" s="79"/>
      <c r="P139" s="79"/>
      <c r="Q139" s="79"/>
      <c r="R139" s="79"/>
    </row>
    <row r="140" spans="1:18" s="64" customFormat="1" ht="24.75" customHeight="1">
      <c r="A140" s="94">
        <v>119</v>
      </c>
      <c r="B140" s="95" t="s">
        <v>985</v>
      </c>
      <c r="C140" s="117" t="s">
        <v>190</v>
      </c>
      <c r="D140" s="118" t="s">
        <v>191</v>
      </c>
      <c r="E140" s="94" t="s">
        <v>555</v>
      </c>
      <c r="F140" s="143" t="s">
        <v>1294</v>
      </c>
      <c r="G140" s="98">
        <v>7</v>
      </c>
      <c r="H140" s="99">
        <v>7</v>
      </c>
      <c r="I140" s="98">
        <v>7</v>
      </c>
      <c r="J140" s="98">
        <v>5</v>
      </c>
      <c r="K140" s="98"/>
      <c r="L140" s="100">
        <f t="shared" si="1"/>
        <v>5.8</v>
      </c>
      <c r="M140" s="101" t="s">
        <v>1324</v>
      </c>
      <c r="N140" s="92"/>
      <c r="O140" s="65"/>
      <c r="P140" s="65"/>
      <c r="Q140" s="65"/>
      <c r="R140" s="65"/>
    </row>
    <row r="141" spans="1:18" s="66" customFormat="1" ht="24.75" customHeight="1">
      <c r="A141" s="114">
        <v>120</v>
      </c>
      <c r="B141" s="105" t="s">
        <v>986</v>
      </c>
      <c r="C141" s="106" t="s">
        <v>188</v>
      </c>
      <c r="D141" s="107" t="s">
        <v>62</v>
      </c>
      <c r="E141" s="114" t="s">
        <v>550</v>
      </c>
      <c r="F141" s="144" t="s">
        <v>1294</v>
      </c>
      <c r="G141" s="115"/>
      <c r="H141" s="108"/>
      <c r="I141" s="115"/>
      <c r="J141" s="115"/>
      <c r="K141" s="115"/>
      <c r="L141" s="109">
        <f t="shared" si="1"/>
        <v>0</v>
      </c>
      <c r="M141" s="116" t="s">
        <v>1324</v>
      </c>
      <c r="N141" s="111" t="s">
        <v>1343</v>
      </c>
      <c r="O141" s="79"/>
      <c r="P141" s="79"/>
      <c r="Q141" s="79"/>
      <c r="R141" s="79"/>
    </row>
    <row r="142" spans="1:18" s="64" customFormat="1" ht="24.75" customHeight="1">
      <c r="A142" s="94">
        <v>121</v>
      </c>
      <c r="B142" s="95" t="s">
        <v>987</v>
      </c>
      <c r="C142" s="117" t="s">
        <v>337</v>
      </c>
      <c r="D142" s="118" t="s">
        <v>192</v>
      </c>
      <c r="E142" s="94" t="s">
        <v>674</v>
      </c>
      <c r="F142" s="143" t="s">
        <v>1294</v>
      </c>
      <c r="G142" s="98">
        <v>6</v>
      </c>
      <c r="H142" s="99">
        <v>6</v>
      </c>
      <c r="I142" s="98">
        <v>4</v>
      </c>
      <c r="J142" s="98">
        <v>5</v>
      </c>
      <c r="K142" s="98"/>
      <c r="L142" s="100">
        <f t="shared" si="1"/>
        <v>5</v>
      </c>
      <c r="M142" s="101" t="s">
        <v>1324</v>
      </c>
      <c r="N142" s="92"/>
      <c r="O142" s="65"/>
      <c r="P142" s="65"/>
      <c r="Q142" s="65"/>
      <c r="R142" s="65"/>
    </row>
    <row r="143" spans="1:18" s="64" customFormat="1" ht="24.75" customHeight="1">
      <c r="A143" s="94">
        <v>122</v>
      </c>
      <c r="B143" s="95" t="s">
        <v>988</v>
      </c>
      <c r="C143" s="117" t="s">
        <v>41</v>
      </c>
      <c r="D143" s="118" t="s">
        <v>192</v>
      </c>
      <c r="E143" s="94" t="s">
        <v>557</v>
      </c>
      <c r="F143" s="143" t="s">
        <v>1294</v>
      </c>
      <c r="G143" s="98">
        <v>6</v>
      </c>
      <c r="H143" s="99">
        <v>7</v>
      </c>
      <c r="I143" s="98">
        <v>5</v>
      </c>
      <c r="J143" s="98">
        <v>5</v>
      </c>
      <c r="K143" s="98"/>
      <c r="L143" s="100">
        <f t="shared" si="1"/>
        <v>5.3</v>
      </c>
      <c r="M143" s="101" t="s">
        <v>1324</v>
      </c>
      <c r="N143" s="92"/>
      <c r="O143" s="65"/>
      <c r="P143" s="65"/>
      <c r="Q143" s="65"/>
      <c r="R143" s="65"/>
    </row>
    <row r="144" spans="1:14" s="65" customFormat="1" ht="24.75" customHeight="1">
      <c r="A144" s="112">
        <v>123</v>
      </c>
      <c r="B144" s="95" t="s">
        <v>989</v>
      </c>
      <c r="C144" s="96" t="s">
        <v>183</v>
      </c>
      <c r="D144" s="97" t="s">
        <v>184</v>
      </c>
      <c r="E144" s="112" t="s">
        <v>547</v>
      </c>
      <c r="F144" s="143" t="s">
        <v>1294</v>
      </c>
      <c r="G144" s="99">
        <v>6</v>
      </c>
      <c r="H144" s="99">
        <v>6</v>
      </c>
      <c r="I144" s="99">
        <v>5</v>
      </c>
      <c r="J144" s="99">
        <v>5</v>
      </c>
      <c r="K144" s="99"/>
      <c r="L144" s="100">
        <f t="shared" si="1"/>
        <v>5.2</v>
      </c>
      <c r="M144" s="113" t="s">
        <v>1324</v>
      </c>
      <c r="N144" s="92"/>
    </row>
    <row r="145" spans="1:18" s="64" customFormat="1" ht="24.75" customHeight="1">
      <c r="A145" s="94">
        <v>124</v>
      </c>
      <c r="B145" s="95" t="s">
        <v>990</v>
      </c>
      <c r="C145" s="117" t="s">
        <v>387</v>
      </c>
      <c r="D145" s="118" t="s">
        <v>146</v>
      </c>
      <c r="E145" s="94" t="s">
        <v>556</v>
      </c>
      <c r="F145" s="143" t="s">
        <v>1294</v>
      </c>
      <c r="G145" s="98">
        <v>6</v>
      </c>
      <c r="H145" s="99">
        <v>9</v>
      </c>
      <c r="I145" s="98">
        <v>5</v>
      </c>
      <c r="J145" s="98">
        <v>7</v>
      </c>
      <c r="K145" s="98"/>
      <c r="L145" s="100">
        <f t="shared" si="1"/>
        <v>6.7</v>
      </c>
      <c r="M145" s="101" t="s">
        <v>1324</v>
      </c>
      <c r="N145" s="92"/>
      <c r="O145" s="65"/>
      <c r="P145" s="65"/>
      <c r="Q145" s="65"/>
      <c r="R145" s="65"/>
    </row>
    <row r="146" spans="1:18" s="68" customFormat="1" ht="24.75" customHeight="1">
      <c r="A146" s="94">
        <v>125</v>
      </c>
      <c r="B146" s="95" t="s">
        <v>991</v>
      </c>
      <c r="C146" s="96" t="s">
        <v>185</v>
      </c>
      <c r="D146" s="97" t="s">
        <v>98</v>
      </c>
      <c r="E146" s="94" t="s">
        <v>548</v>
      </c>
      <c r="F146" s="143" t="s">
        <v>1294</v>
      </c>
      <c r="G146" s="98">
        <v>6</v>
      </c>
      <c r="H146" s="99">
        <v>7</v>
      </c>
      <c r="I146" s="98">
        <v>6</v>
      </c>
      <c r="J146" s="98">
        <v>7</v>
      </c>
      <c r="K146" s="98"/>
      <c r="L146" s="100">
        <f t="shared" si="1"/>
        <v>6.7</v>
      </c>
      <c r="M146" s="101" t="s">
        <v>1324</v>
      </c>
      <c r="N146" s="92"/>
      <c r="O146" s="65"/>
      <c r="P146" s="65"/>
      <c r="Q146" s="65"/>
      <c r="R146" s="65"/>
    </row>
    <row r="147" spans="1:18" s="67" customFormat="1" ht="24.75" customHeight="1">
      <c r="A147" s="114">
        <v>126</v>
      </c>
      <c r="B147" s="105" t="s">
        <v>992</v>
      </c>
      <c r="C147" s="119" t="s">
        <v>157</v>
      </c>
      <c r="D147" s="120" t="s">
        <v>168</v>
      </c>
      <c r="E147" s="114" t="s">
        <v>554</v>
      </c>
      <c r="F147" s="144" t="s">
        <v>1294</v>
      </c>
      <c r="G147" s="115"/>
      <c r="H147" s="108"/>
      <c r="I147" s="115"/>
      <c r="J147" s="115"/>
      <c r="K147" s="115"/>
      <c r="L147" s="109">
        <f t="shared" si="1"/>
        <v>0</v>
      </c>
      <c r="M147" s="116" t="s">
        <v>1324</v>
      </c>
      <c r="N147" s="111" t="s">
        <v>1345</v>
      </c>
      <c r="O147" s="79"/>
      <c r="P147" s="79"/>
      <c r="Q147" s="79"/>
      <c r="R147" s="79"/>
    </row>
    <row r="148" spans="1:18" s="64" customFormat="1" ht="24.75" customHeight="1">
      <c r="A148" s="94">
        <v>127</v>
      </c>
      <c r="B148" s="95" t="s">
        <v>993</v>
      </c>
      <c r="C148" s="96" t="s">
        <v>181</v>
      </c>
      <c r="D148" s="97" t="s">
        <v>153</v>
      </c>
      <c r="E148" s="94" t="s">
        <v>545</v>
      </c>
      <c r="F148" s="143" t="s">
        <v>1294</v>
      </c>
      <c r="G148" s="98">
        <v>6</v>
      </c>
      <c r="H148" s="99"/>
      <c r="I148" s="98">
        <v>5</v>
      </c>
      <c r="J148" s="98"/>
      <c r="K148" s="98"/>
      <c r="L148" s="100">
        <f aca="true" t="shared" si="2" ref="L148:L211">ROUND(G148*$C$11+H148*$C$12+I148*$C$13+J148*$C$14+K148*$C$15,1)</f>
        <v>1.6</v>
      </c>
      <c r="M148" s="101" t="s">
        <v>1324</v>
      </c>
      <c r="N148" s="92" t="s">
        <v>1351</v>
      </c>
      <c r="O148" s="65"/>
      <c r="P148" s="65"/>
      <c r="Q148" s="65"/>
      <c r="R148" s="65"/>
    </row>
    <row r="149" spans="1:18" s="64" customFormat="1" ht="24.75" customHeight="1">
      <c r="A149" s="94">
        <v>128</v>
      </c>
      <c r="B149" s="95" t="s">
        <v>994</v>
      </c>
      <c r="C149" s="117" t="s">
        <v>122</v>
      </c>
      <c r="D149" s="118" t="s">
        <v>189</v>
      </c>
      <c r="E149" s="94" t="s">
        <v>553</v>
      </c>
      <c r="F149" s="143" t="s">
        <v>1294</v>
      </c>
      <c r="G149" s="98">
        <v>6</v>
      </c>
      <c r="H149" s="99">
        <v>6</v>
      </c>
      <c r="I149" s="98">
        <v>5</v>
      </c>
      <c r="J149" s="98">
        <v>8</v>
      </c>
      <c r="K149" s="98"/>
      <c r="L149" s="100">
        <f t="shared" si="2"/>
        <v>7</v>
      </c>
      <c r="M149" s="101" t="s">
        <v>1324</v>
      </c>
      <c r="N149" s="92"/>
      <c r="O149" s="65"/>
      <c r="P149" s="65"/>
      <c r="Q149" s="65"/>
      <c r="R149" s="65"/>
    </row>
    <row r="150" spans="1:18" s="66" customFormat="1" ht="24.75" customHeight="1">
      <c r="A150" s="114">
        <v>129</v>
      </c>
      <c r="B150" s="105" t="s">
        <v>995</v>
      </c>
      <c r="C150" s="119" t="s">
        <v>69</v>
      </c>
      <c r="D150" s="120" t="s">
        <v>104</v>
      </c>
      <c r="E150" s="114" t="s">
        <v>551</v>
      </c>
      <c r="F150" s="144" t="s">
        <v>1294</v>
      </c>
      <c r="G150" s="115"/>
      <c r="H150" s="108"/>
      <c r="I150" s="115"/>
      <c r="J150" s="115"/>
      <c r="K150" s="115"/>
      <c r="L150" s="109">
        <f t="shared" si="2"/>
        <v>0</v>
      </c>
      <c r="M150" s="116" t="s">
        <v>1324</v>
      </c>
      <c r="N150" s="111" t="s">
        <v>1343</v>
      </c>
      <c r="O150" s="79"/>
      <c r="P150" s="79"/>
      <c r="Q150" s="79"/>
      <c r="R150" s="79"/>
    </row>
    <row r="151" spans="1:18" s="64" customFormat="1" ht="24.75" customHeight="1">
      <c r="A151" s="94">
        <v>130</v>
      </c>
      <c r="B151" s="124" t="s">
        <v>996</v>
      </c>
      <c r="C151" s="125" t="s">
        <v>219</v>
      </c>
      <c r="D151" s="126" t="s">
        <v>48</v>
      </c>
      <c r="E151" s="127" t="s">
        <v>701</v>
      </c>
      <c r="F151" s="145" t="s">
        <v>1295</v>
      </c>
      <c r="G151" s="128">
        <v>6</v>
      </c>
      <c r="H151" s="99">
        <v>8</v>
      </c>
      <c r="I151" s="128">
        <v>5</v>
      </c>
      <c r="J151" s="128">
        <v>7</v>
      </c>
      <c r="K151" s="128"/>
      <c r="L151" s="129">
        <f t="shared" si="2"/>
        <v>6.6</v>
      </c>
      <c r="M151" s="146" t="s">
        <v>856</v>
      </c>
      <c r="N151" s="92"/>
      <c r="O151" s="65"/>
      <c r="P151" s="65"/>
      <c r="Q151" s="65"/>
      <c r="R151" s="65"/>
    </row>
    <row r="152" spans="1:18" s="66" customFormat="1" ht="24.75" customHeight="1">
      <c r="A152" s="114">
        <v>131</v>
      </c>
      <c r="B152" s="105" t="s">
        <v>997</v>
      </c>
      <c r="C152" s="119" t="s">
        <v>204</v>
      </c>
      <c r="D152" s="120" t="s">
        <v>37</v>
      </c>
      <c r="E152" s="114" t="s">
        <v>570</v>
      </c>
      <c r="F152" s="144" t="s">
        <v>1298</v>
      </c>
      <c r="G152" s="115"/>
      <c r="H152" s="108"/>
      <c r="I152" s="115"/>
      <c r="J152" s="115"/>
      <c r="K152" s="115"/>
      <c r="L152" s="109">
        <f t="shared" si="2"/>
        <v>0</v>
      </c>
      <c r="M152" s="116" t="s">
        <v>1325</v>
      </c>
      <c r="N152" s="111" t="s">
        <v>1342</v>
      </c>
      <c r="O152" s="79"/>
      <c r="P152" s="79"/>
      <c r="Q152" s="79"/>
      <c r="R152" s="79"/>
    </row>
    <row r="153" spans="1:18" s="64" customFormat="1" ht="24.75" customHeight="1">
      <c r="A153" s="94">
        <v>132</v>
      </c>
      <c r="B153" s="95" t="s">
        <v>998</v>
      </c>
      <c r="C153" s="117" t="s">
        <v>389</v>
      </c>
      <c r="D153" s="118" t="s">
        <v>37</v>
      </c>
      <c r="E153" s="94" t="s">
        <v>569</v>
      </c>
      <c r="F153" s="143" t="s">
        <v>1298</v>
      </c>
      <c r="G153" s="98">
        <v>7</v>
      </c>
      <c r="H153" s="99">
        <v>7</v>
      </c>
      <c r="I153" s="98">
        <v>7</v>
      </c>
      <c r="J153" s="98">
        <v>8</v>
      </c>
      <c r="K153" s="98"/>
      <c r="L153" s="100">
        <f t="shared" si="2"/>
        <v>7.6</v>
      </c>
      <c r="M153" s="101" t="s">
        <v>1325</v>
      </c>
      <c r="N153" s="92"/>
      <c r="O153" s="65"/>
      <c r="P153" s="65"/>
      <c r="Q153" s="65"/>
      <c r="R153" s="65"/>
    </row>
    <row r="154" spans="1:18" s="64" customFormat="1" ht="24.75" customHeight="1">
      <c r="A154" s="94">
        <v>133</v>
      </c>
      <c r="B154" s="95" t="s">
        <v>999</v>
      </c>
      <c r="C154" s="117" t="s">
        <v>38</v>
      </c>
      <c r="D154" s="118" t="s">
        <v>194</v>
      </c>
      <c r="E154" s="94" t="s">
        <v>559</v>
      </c>
      <c r="F154" s="143" t="s">
        <v>1298</v>
      </c>
      <c r="G154" s="98">
        <v>7</v>
      </c>
      <c r="H154" s="99">
        <v>9</v>
      </c>
      <c r="I154" s="98">
        <v>6</v>
      </c>
      <c r="J154" s="98">
        <v>8</v>
      </c>
      <c r="K154" s="98"/>
      <c r="L154" s="100">
        <f t="shared" si="2"/>
        <v>7.6</v>
      </c>
      <c r="M154" s="101" t="s">
        <v>1325</v>
      </c>
      <c r="N154" s="92"/>
      <c r="O154" s="65"/>
      <c r="P154" s="65"/>
      <c r="Q154" s="65"/>
      <c r="R154" s="65"/>
    </row>
    <row r="155" spans="1:18" s="64" customFormat="1" ht="24.75" customHeight="1">
      <c r="A155" s="94">
        <v>134</v>
      </c>
      <c r="B155" s="95" t="s">
        <v>1000</v>
      </c>
      <c r="C155" s="117" t="s">
        <v>198</v>
      </c>
      <c r="D155" s="118" t="s">
        <v>199</v>
      </c>
      <c r="E155" s="94" t="s">
        <v>564</v>
      </c>
      <c r="F155" s="143" t="s">
        <v>1298</v>
      </c>
      <c r="G155" s="98">
        <v>6</v>
      </c>
      <c r="H155" s="99">
        <v>8</v>
      </c>
      <c r="I155" s="98">
        <v>4</v>
      </c>
      <c r="J155" s="98">
        <v>8</v>
      </c>
      <c r="K155" s="98"/>
      <c r="L155" s="100">
        <f t="shared" si="2"/>
        <v>7</v>
      </c>
      <c r="M155" s="101" t="s">
        <v>1325</v>
      </c>
      <c r="N155" s="92"/>
      <c r="O155" s="65"/>
      <c r="P155" s="65"/>
      <c r="Q155" s="65"/>
      <c r="R155" s="65"/>
    </row>
    <row r="156" spans="1:18" s="64" customFormat="1" ht="24.75" customHeight="1">
      <c r="A156" s="94">
        <v>135</v>
      </c>
      <c r="B156" s="95" t="s">
        <v>1001</v>
      </c>
      <c r="C156" s="117" t="s">
        <v>205</v>
      </c>
      <c r="D156" s="118" t="s">
        <v>158</v>
      </c>
      <c r="E156" s="94" t="s">
        <v>573</v>
      </c>
      <c r="F156" s="143" t="s">
        <v>1298</v>
      </c>
      <c r="G156" s="98">
        <v>8</v>
      </c>
      <c r="H156" s="99">
        <v>7</v>
      </c>
      <c r="I156" s="98">
        <v>7.5</v>
      </c>
      <c r="J156" s="98">
        <v>7</v>
      </c>
      <c r="K156" s="98"/>
      <c r="L156" s="100">
        <f t="shared" si="2"/>
        <v>7.2</v>
      </c>
      <c r="M156" s="101" t="s">
        <v>1325</v>
      </c>
      <c r="N156" s="92"/>
      <c r="O156" s="65"/>
      <c r="P156" s="65"/>
      <c r="Q156" s="65"/>
      <c r="R156" s="65"/>
    </row>
    <row r="157" spans="1:18" s="64" customFormat="1" ht="24.75" customHeight="1">
      <c r="A157" s="94">
        <v>136</v>
      </c>
      <c r="B157" s="95" t="s">
        <v>1002</v>
      </c>
      <c r="C157" s="117" t="s">
        <v>75</v>
      </c>
      <c r="D157" s="118" t="s">
        <v>158</v>
      </c>
      <c r="E157" s="94" t="s">
        <v>572</v>
      </c>
      <c r="F157" s="143" t="s">
        <v>1298</v>
      </c>
      <c r="G157" s="98">
        <v>6</v>
      </c>
      <c r="H157" s="99">
        <v>7</v>
      </c>
      <c r="I157" s="98">
        <v>6</v>
      </c>
      <c r="J157" s="98">
        <v>6</v>
      </c>
      <c r="K157" s="98"/>
      <c r="L157" s="100">
        <f t="shared" si="2"/>
        <v>6.1</v>
      </c>
      <c r="M157" s="101" t="s">
        <v>1325</v>
      </c>
      <c r="N157" s="92"/>
      <c r="O157" s="65"/>
      <c r="P157" s="65"/>
      <c r="Q157" s="65"/>
      <c r="R157" s="65"/>
    </row>
    <row r="158" spans="1:14" s="65" customFormat="1" ht="24.75" customHeight="1">
      <c r="A158" s="112">
        <v>137</v>
      </c>
      <c r="B158" s="95" t="s">
        <v>1003</v>
      </c>
      <c r="C158" s="122" t="s">
        <v>69</v>
      </c>
      <c r="D158" s="123" t="s">
        <v>158</v>
      </c>
      <c r="E158" s="112" t="s">
        <v>571</v>
      </c>
      <c r="F158" s="143" t="s">
        <v>1298</v>
      </c>
      <c r="G158" s="99">
        <v>6</v>
      </c>
      <c r="H158" s="99">
        <v>7</v>
      </c>
      <c r="I158" s="99">
        <v>5</v>
      </c>
      <c r="J158" s="99">
        <v>7</v>
      </c>
      <c r="K158" s="99"/>
      <c r="L158" s="100">
        <f t="shared" si="2"/>
        <v>6.5</v>
      </c>
      <c r="M158" s="113" t="s">
        <v>1325</v>
      </c>
      <c r="N158" s="92"/>
    </row>
    <row r="159" spans="1:18" s="64" customFormat="1" ht="24.75" customHeight="1">
      <c r="A159" s="94">
        <v>138</v>
      </c>
      <c r="B159" s="95" t="s">
        <v>1004</v>
      </c>
      <c r="C159" s="117" t="s">
        <v>206</v>
      </c>
      <c r="D159" s="118" t="s">
        <v>158</v>
      </c>
      <c r="E159" s="94" t="s">
        <v>574</v>
      </c>
      <c r="F159" s="143" t="s">
        <v>1298</v>
      </c>
      <c r="G159" s="98">
        <v>7</v>
      </c>
      <c r="H159" s="99">
        <v>7</v>
      </c>
      <c r="I159" s="98">
        <v>6.5</v>
      </c>
      <c r="J159" s="98">
        <v>9</v>
      </c>
      <c r="K159" s="98"/>
      <c r="L159" s="100">
        <f t="shared" si="2"/>
        <v>8.1</v>
      </c>
      <c r="M159" s="101" t="s">
        <v>1325</v>
      </c>
      <c r="N159" s="92"/>
      <c r="O159" s="65"/>
      <c r="P159" s="65"/>
      <c r="Q159" s="65"/>
      <c r="R159" s="65"/>
    </row>
    <row r="160" spans="1:14" s="65" customFormat="1" ht="24.75" customHeight="1">
      <c r="A160" s="112">
        <v>139</v>
      </c>
      <c r="B160" s="95" t="s">
        <v>1005</v>
      </c>
      <c r="C160" s="122" t="s">
        <v>323</v>
      </c>
      <c r="D160" s="123" t="s">
        <v>78</v>
      </c>
      <c r="E160" s="112" t="s">
        <v>788</v>
      </c>
      <c r="F160" s="143" t="s">
        <v>1298</v>
      </c>
      <c r="G160" s="99">
        <v>7</v>
      </c>
      <c r="H160" s="99">
        <v>7</v>
      </c>
      <c r="I160" s="99">
        <v>0</v>
      </c>
      <c r="J160" s="99">
        <v>6</v>
      </c>
      <c r="K160" s="99"/>
      <c r="L160" s="100">
        <f t="shared" si="2"/>
        <v>5</v>
      </c>
      <c r="M160" s="113" t="s">
        <v>1325</v>
      </c>
      <c r="N160" s="92" t="s">
        <v>1352</v>
      </c>
    </row>
    <row r="161" spans="1:18" s="64" customFormat="1" ht="24.75" customHeight="1">
      <c r="A161" s="94">
        <v>140</v>
      </c>
      <c r="B161" s="95" t="s">
        <v>1006</v>
      </c>
      <c r="C161" s="117" t="s">
        <v>294</v>
      </c>
      <c r="D161" s="118" t="s">
        <v>44</v>
      </c>
      <c r="E161" s="94" t="s">
        <v>735</v>
      </c>
      <c r="F161" s="143" t="s">
        <v>1298</v>
      </c>
      <c r="G161" s="98">
        <v>7</v>
      </c>
      <c r="H161" s="99">
        <v>7</v>
      </c>
      <c r="I161" s="98">
        <v>7</v>
      </c>
      <c r="J161" s="98">
        <v>6</v>
      </c>
      <c r="K161" s="98"/>
      <c r="L161" s="100">
        <f t="shared" si="2"/>
        <v>6.4</v>
      </c>
      <c r="M161" s="101" t="s">
        <v>1325</v>
      </c>
      <c r="N161" s="92"/>
      <c r="O161" s="65"/>
      <c r="P161" s="65"/>
      <c r="Q161" s="65"/>
      <c r="R161" s="65"/>
    </row>
    <row r="162" spans="1:18" s="64" customFormat="1" ht="24.75" customHeight="1">
      <c r="A162" s="94">
        <v>141</v>
      </c>
      <c r="B162" s="95" t="s">
        <v>1007</v>
      </c>
      <c r="C162" s="117" t="s">
        <v>195</v>
      </c>
      <c r="D162" s="118" t="s">
        <v>48</v>
      </c>
      <c r="E162" s="94" t="s">
        <v>560</v>
      </c>
      <c r="F162" s="143" t="s">
        <v>1298</v>
      </c>
      <c r="G162" s="98">
        <v>7</v>
      </c>
      <c r="H162" s="99">
        <v>7</v>
      </c>
      <c r="I162" s="98">
        <v>7</v>
      </c>
      <c r="J162" s="98">
        <v>6</v>
      </c>
      <c r="K162" s="98"/>
      <c r="L162" s="100">
        <f t="shared" si="2"/>
        <v>6.4</v>
      </c>
      <c r="M162" s="101" t="s">
        <v>1325</v>
      </c>
      <c r="N162" s="92"/>
      <c r="O162" s="65"/>
      <c r="P162" s="65"/>
      <c r="Q162" s="65"/>
      <c r="R162" s="65"/>
    </row>
    <row r="163" spans="1:14" s="65" customFormat="1" ht="24.75" customHeight="1">
      <c r="A163" s="112">
        <v>142</v>
      </c>
      <c r="B163" s="95" t="s">
        <v>1008</v>
      </c>
      <c r="C163" s="122" t="s">
        <v>41</v>
      </c>
      <c r="D163" s="123" t="s">
        <v>49</v>
      </c>
      <c r="E163" s="112" t="s">
        <v>561</v>
      </c>
      <c r="F163" s="143" t="s">
        <v>1298</v>
      </c>
      <c r="G163" s="99">
        <v>6</v>
      </c>
      <c r="H163" s="99">
        <v>6</v>
      </c>
      <c r="I163" s="99">
        <v>6</v>
      </c>
      <c r="J163" s="99">
        <v>7</v>
      </c>
      <c r="K163" s="99"/>
      <c r="L163" s="100">
        <f t="shared" si="2"/>
        <v>6.6</v>
      </c>
      <c r="M163" s="113" t="s">
        <v>1325</v>
      </c>
      <c r="N163" s="92"/>
    </row>
    <row r="164" spans="1:18" s="64" customFormat="1" ht="24.75" customHeight="1">
      <c r="A164" s="94">
        <v>143</v>
      </c>
      <c r="B164" s="95" t="s">
        <v>1009</v>
      </c>
      <c r="C164" s="117" t="s">
        <v>128</v>
      </c>
      <c r="D164" s="118" t="s">
        <v>124</v>
      </c>
      <c r="E164" s="94" t="s">
        <v>575</v>
      </c>
      <c r="F164" s="143" t="s">
        <v>1298</v>
      </c>
      <c r="G164" s="98">
        <v>8</v>
      </c>
      <c r="H164" s="99">
        <v>7</v>
      </c>
      <c r="I164" s="98">
        <v>8</v>
      </c>
      <c r="J164" s="98">
        <v>9</v>
      </c>
      <c r="K164" s="98"/>
      <c r="L164" s="100">
        <f t="shared" si="2"/>
        <v>8.5</v>
      </c>
      <c r="M164" s="101" t="s">
        <v>1325</v>
      </c>
      <c r="N164" s="92"/>
      <c r="O164" s="65"/>
      <c r="P164" s="65"/>
      <c r="Q164" s="65"/>
      <c r="R164" s="65"/>
    </row>
    <row r="165" spans="1:18" s="66" customFormat="1" ht="24.75" customHeight="1">
      <c r="A165" s="114">
        <v>144</v>
      </c>
      <c r="B165" s="105" t="s">
        <v>1010</v>
      </c>
      <c r="C165" s="119" t="s">
        <v>41</v>
      </c>
      <c r="D165" s="120" t="s">
        <v>202</v>
      </c>
      <c r="E165" s="114" t="s">
        <v>567</v>
      </c>
      <c r="F165" s="144" t="s">
        <v>1298</v>
      </c>
      <c r="G165" s="115"/>
      <c r="H165" s="108"/>
      <c r="I165" s="115"/>
      <c r="J165" s="115"/>
      <c r="K165" s="115"/>
      <c r="L165" s="109">
        <f t="shared" si="2"/>
        <v>0</v>
      </c>
      <c r="M165" s="116" t="s">
        <v>1325</v>
      </c>
      <c r="N165" s="111" t="s">
        <v>1345</v>
      </c>
      <c r="O165" s="79"/>
      <c r="P165" s="79"/>
      <c r="Q165" s="79"/>
      <c r="R165" s="79"/>
    </row>
    <row r="166" spans="1:18" s="64" customFormat="1" ht="24.75" customHeight="1">
      <c r="A166" s="94">
        <v>145</v>
      </c>
      <c r="B166" s="95" t="s">
        <v>1011</v>
      </c>
      <c r="C166" s="117" t="s">
        <v>208</v>
      </c>
      <c r="D166" s="118" t="s">
        <v>57</v>
      </c>
      <c r="E166" s="94" t="s">
        <v>581</v>
      </c>
      <c r="F166" s="143" t="s">
        <v>1298</v>
      </c>
      <c r="G166" s="98">
        <v>7</v>
      </c>
      <c r="H166" s="99">
        <v>9</v>
      </c>
      <c r="I166" s="98">
        <v>6.5</v>
      </c>
      <c r="J166" s="98">
        <v>7</v>
      </c>
      <c r="K166" s="98"/>
      <c r="L166" s="100">
        <f t="shared" si="2"/>
        <v>7.1</v>
      </c>
      <c r="M166" s="101" t="s">
        <v>1325</v>
      </c>
      <c r="N166" s="92"/>
      <c r="O166" s="65"/>
      <c r="P166" s="65"/>
      <c r="Q166" s="65"/>
      <c r="R166" s="65"/>
    </row>
    <row r="167" spans="1:18" s="64" customFormat="1" ht="24.75" customHeight="1">
      <c r="A167" s="94">
        <v>146</v>
      </c>
      <c r="B167" s="95" t="s">
        <v>1012</v>
      </c>
      <c r="C167" s="117" t="s">
        <v>201</v>
      </c>
      <c r="D167" s="118" t="s">
        <v>89</v>
      </c>
      <c r="E167" s="94" t="s">
        <v>566</v>
      </c>
      <c r="F167" s="143" t="s">
        <v>1298</v>
      </c>
      <c r="G167" s="98">
        <v>8</v>
      </c>
      <c r="H167" s="99">
        <v>0</v>
      </c>
      <c r="I167" s="98">
        <v>7.5</v>
      </c>
      <c r="J167" s="98">
        <v>0</v>
      </c>
      <c r="K167" s="98"/>
      <c r="L167" s="100">
        <f t="shared" si="2"/>
        <v>2.3</v>
      </c>
      <c r="M167" s="101" t="s">
        <v>1325</v>
      </c>
      <c r="N167" s="92" t="s">
        <v>1353</v>
      </c>
      <c r="O167" s="65"/>
      <c r="P167" s="65"/>
      <c r="Q167" s="65"/>
      <c r="R167" s="65"/>
    </row>
    <row r="168" spans="1:18" s="64" customFormat="1" ht="24.75" customHeight="1">
      <c r="A168" s="94">
        <v>147</v>
      </c>
      <c r="B168" s="95" t="s">
        <v>1013</v>
      </c>
      <c r="C168" s="117" t="s">
        <v>196</v>
      </c>
      <c r="D168" s="118" t="s">
        <v>388</v>
      </c>
      <c r="E168" s="94" t="s">
        <v>562</v>
      </c>
      <c r="F168" s="143" t="s">
        <v>1298</v>
      </c>
      <c r="G168" s="98">
        <v>7</v>
      </c>
      <c r="H168" s="99">
        <v>8</v>
      </c>
      <c r="I168" s="98">
        <v>7</v>
      </c>
      <c r="J168" s="98">
        <v>6</v>
      </c>
      <c r="K168" s="98"/>
      <c r="L168" s="100">
        <f t="shared" si="2"/>
        <v>6.5</v>
      </c>
      <c r="M168" s="101" t="s">
        <v>1325</v>
      </c>
      <c r="N168" s="92"/>
      <c r="O168" s="65"/>
      <c r="P168" s="65"/>
      <c r="Q168" s="65"/>
      <c r="R168" s="65"/>
    </row>
    <row r="169" spans="1:18" s="64" customFormat="1" ht="24.75" customHeight="1">
      <c r="A169" s="94">
        <v>148</v>
      </c>
      <c r="B169" s="95" t="s">
        <v>1014</v>
      </c>
      <c r="C169" s="117" t="s">
        <v>390</v>
      </c>
      <c r="D169" s="118" t="s">
        <v>59</v>
      </c>
      <c r="E169" s="94" t="s">
        <v>576</v>
      </c>
      <c r="F169" s="143" t="s">
        <v>1298</v>
      </c>
      <c r="G169" s="98">
        <v>8</v>
      </c>
      <c r="H169" s="99">
        <v>6</v>
      </c>
      <c r="I169" s="98">
        <v>8</v>
      </c>
      <c r="J169" s="98">
        <v>6</v>
      </c>
      <c r="K169" s="98"/>
      <c r="L169" s="100">
        <f t="shared" si="2"/>
        <v>6.6</v>
      </c>
      <c r="M169" s="101" t="s">
        <v>1325</v>
      </c>
      <c r="N169" s="92"/>
      <c r="O169" s="65"/>
      <c r="P169" s="65"/>
      <c r="Q169" s="65"/>
      <c r="R169" s="65"/>
    </row>
    <row r="170" spans="1:18" s="64" customFormat="1" ht="24.75" customHeight="1">
      <c r="A170" s="94">
        <v>149</v>
      </c>
      <c r="B170" s="95" t="s">
        <v>1015</v>
      </c>
      <c r="C170" s="117" t="s">
        <v>200</v>
      </c>
      <c r="D170" s="118" t="s">
        <v>62</v>
      </c>
      <c r="E170" s="94" t="s">
        <v>565</v>
      </c>
      <c r="F170" s="143" t="s">
        <v>1298</v>
      </c>
      <c r="G170" s="98">
        <v>6</v>
      </c>
      <c r="H170" s="99">
        <v>6</v>
      </c>
      <c r="I170" s="98">
        <v>3.5</v>
      </c>
      <c r="J170" s="98">
        <v>8</v>
      </c>
      <c r="K170" s="98"/>
      <c r="L170" s="100">
        <f t="shared" si="2"/>
        <v>6.7</v>
      </c>
      <c r="M170" s="101" t="s">
        <v>1325</v>
      </c>
      <c r="N170" s="92"/>
      <c r="O170" s="65"/>
      <c r="P170" s="65"/>
      <c r="Q170" s="65"/>
      <c r="R170" s="65"/>
    </row>
    <row r="171" spans="1:18" s="64" customFormat="1" ht="24.75" customHeight="1">
      <c r="A171" s="94">
        <v>150</v>
      </c>
      <c r="B171" s="95" t="s">
        <v>1016</v>
      </c>
      <c r="C171" s="117" t="s">
        <v>207</v>
      </c>
      <c r="D171" s="118" t="s">
        <v>110</v>
      </c>
      <c r="E171" s="94" t="s">
        <v>577</v>
      </c>
      <c r="F171" s="143" t="s">
        <v>1298</v>
      </c>
      <c r="G171" s="98">
        <v>8</v>
      </c>
      <c r="H171" s="99">
        <v>9</v>
      </c>
      <c r="I171" s="98">
        <v>6.5</v>
      </c>
      <c r="J171" s="98">
        <v>7</v>
      </c>
      <c r="K171" s="98"/>
      <c r="L171" s="100">
        <f t="shared" si="2"/>
        <v>7.2</v>
      </c>
      <c r="M171" s="101" t="s">
        <v>1325</v>
      </c>
      <c r="N171" s="92"/>
      <c r="O171" s="65"/>
      <c r="P171" s="65"/>
      <c r="Q171" s="65"/>
      <c r="R171" s="65"/>
    </row>
    <row r="172" spans="1:18" s="66" customFormat="1" ht="24.75" customHeight="1">
      <c r="A172" s="114">
        <v>151</v>
      </c>
      <c r="B172" s="105" t="s">
        <v>1017</v>
      </c>
      <c r="C172" s="119" t="s">
        <v>203</v>
      </c>
      <c r="D172" s="120" t="s">
        <v>64</v>
      </c>
      <c r="E172" s="114" t="s">
        <v>568</v>
      </c>
      <c r="F172" s="144" t="s">
        <v>1298</v>
      </c>
      <c r="G172" s="115"/>
      <c r="H172" s="108"/>
      <c r="I172" s="115"/>
      <c r="J172" s="115"/>
      <c r="K172" s="115"/>
      <c r="L172" s="109">
        <f t="shared" si="2"/>
        <v>0</v>
      </c>
      <c r="M172" s="116" t="s">
        <v>1325</v>
      </c>
      <c r="N172" s="111" t="s">
        <v>1345</v>
      </c>
      <c r="O172" s="79"/>
      <c r="P172" s="79"/>
      <c r="Q172" s="79"/>
      <c r="R172" s="79"/>
    </row>
    <row r="173" spans="1:18" s="64" customFormat="1" ht="24.75" customHeight="1">
      <c r="A173" s="94">
        <v>152</v>
      </c>
      <c r="B173" s="95" t="s">
        <v>1018</v>
      </c>
      <c r="C173" s="117" t="s">
        <v>391</v>
      </c>
      <c r="D173" s="118" t="s">
        <v>65</v>
      </c>
      <c r="E173" s="94" t="s">
        <v>578</v>
      </c>
      <c r="F173" s="143" t="s">
        <v>1298</v>
      </c>
      <c r="G173" s="98">
        <v>7</v>
      </c>
      <c r="H173" s="99">
        <v>8</v>
      </c>
      <c r="I173" s="98">
        <v>7</v>
      </c>
      <c r="J173" s="98">
        <v>6</v>
      </c>
      <c r="K173" s="98"/>
      <c r="L173" s="100">
        <f t="shared" si="2"/>
        <v>6.5</v>
      </c>
      <c r="M173" s="101" t="s">
        <v>1325</v>
      </c>
      <c r="N173" s="92"/>
      <c r="O173" s="65"/>
      <c r="P173" s="65"/>
      <c r="Q173" s="65"/>
      <c r="R173" s="65"/>
    </row>
    <row r="174" spans="1:18" s="64" customFormat="1" ht="24.75" customHeight="1">
      <c r="A174" s="94">
        <v>153</v>
      </c>
      <c r="B174" s="95" t="s">
        <v>1019</v>
      </c>
      <c r="C174" s="117" t="s">
        <v>392</v>
      </c>
      <c r="D174" s="118" t="s">
        <v>146</v>
      </c>
      <c r="E174" s="94" t="s">
        <v>579</v>
      </c>
      <c r="F174" s="143" t="s">
        <v>1298</v>
      </c>
      <c r="G174" s="98">
        <v>7</v>
      </c>
      <c r="H174" s="99">
        <v>7</v>
      </c>
      <c r="I174" s="98">
        <v>7</v>
      </c>
      <c r="J174" s="98">
        <v>7</v>
      </c>
      <c r="K174" s="98"/>
      <c r="L174" s="100">
        <f t="shared" si="2"/>
        <v>7</v>
      </c>
      <c r="M174" s="101" t="s">
        <v>1325</v>
      </c>
      <c r="N174" s="92"/>
      <c r="O174" s="65"/>
      <c r="P174" s="65"/>
      <c r="Q174" s="65"/>
      <c r="R174" s="65"/>
    </row>
    <row r="175" spans="1:18" s="64" customFormat="1" ht="24.75" customHeight="1">
      <c r="A175" s="94">
        <v>154</v>
      </c>
      <c r="B175" s="95" t="s">
        <v>1020</v>
      </c>
      <c r="C175" s="117" t="s">
        <v>197</v>
      </c>
      <c r="D175" s="118" t="s">
        <v>112</v>
      </c>
      <c r="E175" s="94" t="s">
        <v>563</v>
      </c>
      <c r="F175" s="143" t="s">
        <v>1298</v>
      </c>
      <c r="G175" s="98">
        <v>7</v>
      </c>
      <c r="H175" s="99">
        <v>7</v>
      </c>
      <c r="I175" s="98">
        <v>6.5</v>
      </c>
      <c r="J175" s="98">
        <v>7</v>
      </c>
      <c r="K175" s="98"/>
      <c r="L175" s="100">
        <f t="shared" si="2"/>
        <v>6.9</v>
      </c>
      <c r="M175" s="101" t="s">
        <v>1325</v>
      </c>
      <c r="N175" s="92"/>
      <c r="O175" s="65"/>
      <c r="P175" s="65"/>
      <c r="Q175" s="65"/>
      <c r="R175" s="65"/>
    </row>
    <row r="176" spans="1:18" s="64" customFormat="1" ht="24.75" customHeight="1">
      <c r="A176" s="94">
        <v>155</v>
      </c>
      <c r="B176" s="95" t="s">
        <v>1021</v>
      </c>
      <c r="C176" s="117" t="s">
        <v>41</v>
      </c>
      <c r="D176" s="118" t="s">
        <v>66</v>
      </c>
      <c r="E176" s="94" t="s">
        <v>580</v>
      </c>
      <c r="F176" s="143" t="s">
        <v>1298</v>
      </c>
      <c r="G176" s="98">
        <v>7</v>
      </c>
      <c r="H176" s="99">
        <v>8</v>
      </c>
      <c r="I176" s="98">
        <v>6.5</v>
      </c>
      <c r="J176" s="98">
        <v>7</v>
      </c>
      <c r="K176" s="98"/>
      <c r="L176" s="100">
        <f t="shared" si="2"/>
        <v>7</v>
      </c>
      <c r="M176" s="101" t="s">
        <v>1325</v>
      </c>
      <c r="N176" s="92"/>
      <c r="O176" s="65"/>
      <c r="P176" s="65"/>
      <c r="Q176" s="65"/>
      <c r="R176" s="65"/>
    </row>
    <row r="177" spans="1:18" s="64" customFormat="1" ht="24.75" customHeight="1">
      <c r="A177" s="94">
        <v>156</v>
      </c>
      <c r="B177" s="95" t="s">
        <v>1022</v>
      </c>
      <c r="C177" s="117" t="s">
        <v>41</v>
      </c>
      <c r="D177" s="118" t="s">
        <v>72</v>
      </c>
      <c r="E177" s="94" t="s">
        <v>582</v>
      </c>
      <c r="F177" s="143" t="s">
        <v>1298</v>
      </c>
      <c r="G177" s="98">
        <v>7</v>
      </c>
      <c r="H177" s="99">
        <v>6</v>
      </c>
      <c r="I177" s="98">
        <v>7</v>
      </c>
      <c r="J177" s="98">
        <v>7</v>
      </c>
      <c r="K177" s="98"/>
      <c r="L177" s="100">
        <f t="shared" si="2"/>
        <v>6.9</v>
      </c>
      <c r="M177" s="101" t="s">
        <v>1325</v>
      </c>
      <c r="N177" s="92"/>
      <c r="O177" s="65"/>
      <c r="P177" s="65"/>
      <c r="Q177" s="65"/>
      <c r="R177" s="65"/>
    </row>
    <row r="178" spans="1:18" s="64" customFormat="1" ht="24.75" customHeight="1">
      <c r="A178" s="94">
        <v>157</v>
      </c>
      <c r="B178" s="95" t="s">
        <v>1023</v>
      </c>
      <c r="C178" s="117" t="s">
        <v>41</v>
      </c>
      <c r="D178" s="118" t="s">
        <v>408</v>
      </c>
      <c r="E178" s="94" t="s">
        <v>816</v>
      </c>
      <c r="F178" s="143" t="s">
        <v>1298</v>
      </c>
      <c r="G178" s="98">
        <v>8</v>
      </c>
      <c r="H178" s="99">
        <v>6</v>
      </c>
      <c r="I178" s="98">
        <v>8</v>
      </c>
      <c r="J178" s="98">
        <v>7</v>
      </c>
      <c r="K178" s="98"/>
      <c r="L178" s="100">
        <f t="shared" si="2"/>
        <v>7.2</v>
      </c>
      <c r="M178" s="101" t="s">
        <v>1325</v>
      </c>
      <c r="N178" s="92"/>
      <c r="O178" s="65"/>
      <c r="P178" s="65"/>
      <c r="Q178" s="65"/>
      <c r="R178" s="65"/>
    </row>
    <row r="179" spans="1:18" s="64" customFormat="1" ht="24.75" customHeight="1">
      <c r="A179" s="94">
        <v>158</v>
      </c>
      <c r="B179" s="95" t="s">
        <v>1024</v>
      </c>
      <c r="C179" s="117" t="s">
        <v>69</v>
      </c>
      <c r="D179" s="118" t="s">
        <v>209</v>
      </c>
      <c r="E179" s="94" t="s">
        <v>583</v>
      </c>
      <c r="F179" s="143" t="s">
        <v>1298</v>
      </c>
      <c r="G179" s="98">
        <v>7</v>
      </c>
      <c r="H179" s="99">
        <v>7</v>
      </c>
      <c r="I179" s="98">
        <v>7</v>
      </c>
      <c r="J179" s="98">
        <v>6</v>
      </c>
      <c r="K179" s="98"/>
      <c r="L179" s="100">
        <f t="shared" si="2"/>
        <v>6.4</v>
      </c>
      <c r="M179" s="101" t="s">
        <v>1325</v>
      </c>
      <c r="N179" s="92"/>
      <c r="O179" s="65"/>
      <c r="P179" s="65"/>
      <c r="Q179" s="65"/>
      <c r="R179" s="65"/>
    </row>
    <row r="180" spans="1:18" s="64" customFormat="1" ht="31.5" customHeight="1">
      <c r="A180" s="94">
        <v>159</v>
      </c>
      <c r="B180" s="95" t="s">
        <v>1025</v>
      </c>
      <c r="C180" s="117" t="s">
        <v>210</v>
      </c>
      <c r="D180" s="118" t="s">
        <v>37</v>
      </c>
      <c r="E180" s="94" t="s">
        <v>585</v>
      </c>
      <c r="F180" s="143" t="s">
        <v>1296</v>
      </c>
      <c r="G180" s="98">
        <v>6</v>
      </c>
      <c r="H180" s="99">
        <v>8</v>
      </c>
      <c r="I180" s="98">
        <v>6</v>
      </c>
      <c r="J180" s="98">
        <v>7</v>
      </c>
      <c r="K180" s="98"/>
      <c r="L180" s="100">
        <f t="shared" si="2"/>
        <v>6.8</v>
      </c>
      <c r="M180" s="101" t="s">
        <v>861</v>
      </c>
      <c r="N180" s="92"/>
      <c r="O180" s="65"/>
      <c r="P180" s="65"/>
      <c r="Q180" s="65"/>
      <c r="R180" s="65"/>
    </row>
    <row r="181" spans="1:18" s="64" customFormat="1" ht="24.75" customHeight="1">
      <c r="A181" s="94">
        <v>160</v>
      </c>
      <c r="B181" s="95" t="s">
        <v>1026</v>
      </c>
      <c r="C181" s="117" t="s">
        <v>393</v>
      </c>
      <c r="D181" s="118" t="s">
        <v>394</v>
      </c>
      <c r="E181" s="94" t="s">
        <v>584</v>
      </c>
      <c r="F181" s="143" t="s">
        <v>1296</v>
      </c>
      <c r="G181" s="98">
        <v>6</v>
      </c>
      <c r="H181" s="99">
        <v>9</v>
      </c>
      <c r="I181" s="98">
        <v>6</v>
      </c>
      <c r="J181" s="98">
        <v>7</v>
      </c>
      <c r="K181" s="98"/>
      <c r="L181" s="100">
        <f t="shared" si="2"/>
        <v>6.9</v>
      </c>
      <c r="M181" s="101" t="s">
        <v>850</v>
      </c>
      <c r="N181" s="92"/>
      <c r="O181" s="65"/>
      <c r="P181" s="65"/>
      <c r="Q181" s="65"/>
      <c r="R181" s="65"/>
    </row>
    <row r="182" spans="1:18" s="64" customFormat="1" ht="32.25" customHeight="1">
      <c r="A182" s="94">
        <v>161</v>
      </c>
      <c r="B182" s="95" t="s">
        <v>1027</v>
      </c>
      <c r="C182" s="117" t="s">
        <v>227</v>
      </c>
      <c r="D182" s="118" t="s">
        <v>60</v>
      </c>
      <c r="E182" s="94" t="s">
        <v>613</v>
      </c>
      <c r="F182" s="143" t="s">
        <v>1296</v>
      </c>
      <c r="G182" s="98">
        <v>9</v>
      </c>
      <c r="H182" s="99">
        <v>8</v>
      </c>
      <c r="I182" s="98">
        <v>8.5</v>
      </c>
      <c r="J182" s="98">
        <v>9</v>
      </c>
      <c r="K182" s="98"/>
      <c r="L182" s="100">
        <f t="shared" si="2"/>
        <v>8.8</v>
      </c>
      <c r="M182" s="101" t="s">
        <v>1336</v>
      </c>
      <c r="N182" s="92"/>
      <c r="O182" s="65"/>
      <c r="P182" s="65"/>
      <c r="Q182" s="65"/>
      <c r="R182" s="65"/>
    </row>
    <row r="183" spans="1:18" s="64" customFormat="1" ht="24.75" customHeight="1">
      <c r="A183" s="94">
        <v>162</v>
      </c>
      <c r="B183" s="95" t="s">
        <v>1028</v>
      </c>
      <c r="C183" s="117" t="s">
        <v>155</v>
      </c>
      <c r="D183" s="118" t="s">
        <v>396</v>
      </c>
      <c r="E183" s="94" t="s">
        <v>556</v>
      </c>
      <c r="F183" s="143" t="s">
        <v>1297</v>
      </c>
      <c r="G183" s="98">
        <v>7</v>
      </c>
      <c r="H183" s="99">
        <v>7</v>
      </c>
      <c r="I183" s="98">
        <v>7</v>
      </c>
      <c r="J183" s="98">
        <v>9</v>
      </c>
      <c r="K183" s="98"/>
      <c r="L183" s="100">
        <f t="shared" si="2"/>
        <v>8.2</v>
      </c>
      <c r="M183" s="101" t="s">
        <v>1326</v>
      </c>
      <c r="N183" s="92"/>
      <c r="O183" s="65"/>
      <c r="P183" s="65"/>
      <c r="Q183" s="65"/>
      <c r="R183" s="65"/>
    </row>
    <row r="184" spans="1:18" s="64" customFormat="1" ht="24.75" customHeight="1">
      <c r="A184" s="94">
        <v>163</v>
      </c>
      <c r="B184" s="95" t="s">
        <v>1029</v>
      </c>
      <c r="C184" s="117" t="s">
        <v>216</v>
      </c>
      <c r="D184" s="118" t="s">
        <v>217</v>
      </c>
      <c r="E184" s="94" t="s">
        <v>595</v>
      </c>
      <c r="F184" s="143" t="s">
        <v>1297</v>
      </c>
      <c r="G184" s="98">
        <v>6</v>
      </c>
      <c r="H184" s="99">
        <v>7</v>
      </c>
      <c r="I184" s="98">
        <v>5</v>
      </c>
      <c r="J184" s="98">
        <v>6</v>
      </c>
      <c r="K184" s="98"/>
      <c r="L184" s="100">
        <f t="shared" si="2"/>
        <v>5.9</v>
      </c>
      <c r="M184" s="101" t="s">
        <v>1326</v>
      </c>
      <c r="N184" s="92"/>
      <c r="O184" s="65"/>
      <c r="P184" s="65"/>
      <c r="Q184" s="65"/>
      <c r="R184" s="65"/>
    </row>
    <row r="185" spans="1:18" s="64" customFormat="1" ht="24.75" customHeight="1">
      <c r="A185" s="94">
        <v>164</v>
      </c>
      <c r="B185" s="95" t="s">
        <v>1030</v>
      </c>
      <c r="C185" s="117" t="s">
        <v>441</v>
      </c>
      <c r="D185" s="118" t="s">
        <v>436</v>
      </c>
      <c r="E185" s="94" t="s">
        <v>789</v>
      </c>
      <c r="F185" s="143" t="s">
        <v>1297</v>
      </c>
      <c r="G185" s="98">
        <v>6</v>
      </c>
      <c r="H185" s="99">
        <v>7</v>
      </c>
      <c r="I185" s="98">
        <v>5</v>
      </c>
      <c r="J185" s="98">
        <v>8</v>
      </c>
      <c r="K185" s="98"/>
      <c r="L185" s="100">
        <f t="shared" si="2"/>
        <v>7.1</v>
      </c>
      <c r="M185" s="101" t="s">
        <v>1326</v>
      </c>
      <c r="N185" s="92"/>
      <c r="O185" s="65"/>
      <c r="P185" s="65"/>
      <c r="Q185" s="65"/>
      <c r="R185" s="65"/>
    </row>
    <row r="186" spans="1:18" s="64" customFormat="1" ht="24.75" customHeight="1">
      <c r="A186" s="94">
        <v>165</v>
      </c>
      <c r="B186" s="95" t="s">
        <v>1031</v>
      </c>
      <c r="C186" s="117" t="s">
        <v>211</v>
      </c>
      <c r="D186" s="118" t="s">
        <v>46</v>
      </c>
      <c r="E186" s="94" t="s">
        <v>589</v>
      </c>
      <c r="F186" s="143" t="s">
        <v>1297</v>
      </c>
      <c r="G186" s="98">
        <v>7</v>
      </c>
      <c r="H186" s="99">
        <v>7</v>
      </c>
      <c r="I186" s="98">
        <v>7</v>
      </c>
      <c r="J186" s="98">
        <v>8</v>
      </c>
      <c r="K186" s="98"/>
      <c r="L186" s="100">
        <f t="shared" si="2"/>
        <v>7.6</v>
      </c>
      <c r="M186" s="101" t="s">
        <v>1326</v>
      </c>
      <c r="N186" s="92"/>
      <c r="O186" s="65"/>
      <c r="P186" s="65"/>
      <c r="Q186" s="65"/>
      <c r="R186" s="65"/>
    </row>
    <row r="187" spans="1:18" s="64" customFormat="1" ht="24.75" customHeight="1">
      <c r="A187" s="94">
        <v>166</v>
      </c>
      <c r="B187" s="95" t="s">
        <v>1032</v>
      </c>
      <c r="C187" s="117" t="s">
        <v>212</v>
      </c>
      <c r="D187" s="118" t="s">
        <v>213</v>
      </c>
      <c r="E187" s="94" t="s">
        <v>590</v>
      </c>
      <c r="F187" s="143" t="s">
        <v>1297</v>
      </c>
      <c r="G187" s="98">
        <v>6</v>
      </c>
      <c r="H187" s="99">
        <v>7</v>
      </c>
      <c r="I187" s="98">
        <v>5.5</v>
      </c>
      <c r="J187" s="98">
        <v>8</v>
      </c>
      <c r="K187" s="98"/>
      <c r="L187" s="100">
        <f t="shared" si="2"/>
        <v>7.2</v>
      </c>
      <c r="M187" s="101" t="s">
        <v>1326</v>
      </c>
      <c r="N187" s="92"/>
      <c r="O187" s="65"/>
      <c r="P187" s="65"/>
      <c r="Q187" s="65"/>
      <c r="R187" s="65"/>
    </row>
    <row r="188" spans="1:18" s="64" customFormat="1" ht="24.75" customHeight="1">
      <c r="A188" s="94">
        <v>167</v>
      </c>
      <c r="B188" s="95" t="s">
        <v>1033</v>
      </c>
      <c r="C188" s="117" t="s">
        <v>399</v>
      </c>
      <c r="D188" s="118" t="s">
        <v>111</v>
      </c>
      <c r="E188" s="94" t="s">
        <v>599</v>
      </c>
      <c r="F188" s="143" t="s">
        <v>1297</v>
      </c>
      <c r="G188" s="98">
        <v>6</v>
      </c>
      <c r="H188" s="99">
        <v>7</v>
      </c>
      <c r="I188" s="98">
        <v>5</v>
      </c>
      <c r="J188" s="98">
        <v>7</v>
      </c>
      <c r="K188" s="98"/>
      <c r="L188" s="100">
        <f t="shared" si="2"/>
        <v>6.5</v>
      </c>
      <c r="M188" s="101" t="s">
        <v>1326</v>
      </c>
      <c r="N188" s="92"/>
      <c r="O188" s="65"/>
      <c r="P188" s="65"/>
      <c r="Q188" s="65"/>
      <c r="R188" s="65"/>
    </row>
    <row r="189" spans="1:18" s="64" customFormat="1" ht="24.75" customHeight="1">
      <c r="A189" s="94">
        <v>168</v>
      </c>
      <c r="B189" s="95" t="s">
        <v>1034</v>
      </c>
      <c r="C189" s="117" t="s">
        <v>183</v>
      </c>
      <c r="D189" s="118" t="s">
        <v>111</v>
      </c>
      <c r="E189" s="94" t="s">
        <v>592</v>
      </c>
      <c r="F189" s="143" t="s">
        <v>1297</v>
      </c>
      <c r="G189" s="98">
        <v>6</v>
      </c>
      <c r="H189" s="99">
        <v>7</v>
      </c>
      <c r="I189" s="98">
        <v>6.5</v>
      </c>
      <c r="J189" s="98">
        <v>7</v>
      </c>
      <c r="K189" s="98"/>
      <c r="L189" s="100">
        <f t="shared" si="2"/>
        <v>6.8</v>
      </c>
      <c r="M189" s="101" t="s">
        <v>1326</v>
      </c>
      <c r="N189" s="92"/>
      <c r="O189" s="65"/>
      <c r="P189" s="65"/>
      <c r="Q189" s="65"/>
      <c r="R189" s="65"/>
    </row>
    <row r="190" spans="1:14" s="65" customFormat="1" ht="24.75" customHeight="1">
      <c r="A190" s="112">
        <v>169</v>
      </c>
      <c r="B190" s="95" t="s">
        <v>1035</v>
      </c>
      <c r="C190" s="122" t="s">
        <v>42</v>
      </c>
      <c r="D190" s="123" t="s">
        <v>57</v>
      </c>
      <c r="E190" s="112" t="s">
        <v>593</v>
      </c>
      <c r="F190" s="143" t="s">
        <v>1297</v>
      </c>
      <c r="G190" s="99">
        <v>8</v>
      </c>
      <c r="H190" s="99">
        <v>7</v>
      </c>
      <c r="I190" s="99">
        <v>8</v>
      </c>
      <c r="J190" s="99">
        <v>7</v>
      </c>
      <c r="K190" s="99"/>
      <c r="L190" s="100">
        <f t="shared" si="2"/>
        <v>7.3</v>
      </c>
      <c r="M190" s="113" t="s">
        <v>1326</v>
      </c>
      <c r="N190" s="92"/>
    </row>
    <row r="191" spans="1:18" s="68" customFormat="1" ht="24.75" customHeight="1">
      <c r="A191" s="94">
        <v>170</v>
      </c>
      <c r="B191" s="95" t="s">
        <v>1036</v>
      </c>
      <c r="C191" s="117" t="s">
        <v>398</v>
      </c>
      <c r="D191" s="118" t="s">
        <v>89</v>
      </c>
      <c r="E191" s="94" t="s">
        <v>596</v>
      </c>
      <c r="F191" s="143" t="s">
        <v>1297</v>
      </c>
      <c r="G191" s="98">
        <v>6</v>
      </c>
      <c r="H191" s="99">
        <v>6</v>
      </c>
      <c r="I191" s="98">
        <v>5</v>
      </c>
      <c r="J191" s="98">
        <v>5</v>
      </c>
      <c r="K191" s="98"/>
      <c r="L191" s="100">
        <f t="shared" si="2"/>
        <v>5.2</v>
      </c>
      <c r="M191" s="101" t="s">
        <v>1326</v>
      </c>
      <c r="N191" s="92"/>
      <c r="O191" s="65"/>
      <c r="P191" s="65"/>
      <c r="Q191" s="65"/>
      <c r="R191" s="65"/>
    </row>
    <row r="192" spans="1:18" s="64" customFormat="1" ht="24.75" customHeight="1">
      <c r="A192" s="94">
        <v>171</v>
      </c>
      <c r="B192" s="95" t="s">
        <v>1037</v>
      </c>
      <c r="C192" s="117" t="s">
        <v>395</v>
      </c>
      <c r="D192" s="118" t="s">
        <v>89</v>
      </c>
      <c r="E192" s="94" t="s">
        <v>586</v>
      </c>
      <c r="F192" s="143" t="s">
        <v>1297</v>
      </c>
      <c r="G192" s="98">
        <v>7</v>
      </c>
      <c r="H192" s="99">
        <v>7</v>
      </c>
      <c r="I192" s="98">
        <v>7</v>
      </c>
      <c r="J192" s="98">
        <v>8</v>
      </c>
      <c r="K192" s="98"/>
      <c r="L192" s="100">
        <f t="shared" si="2"/>
        <v>7.6</v>
      </c>
      <c r="M192" s="101" t="s">
        <v>1326</v>
      </c>
      <c r="N192" s="92"/>
      <c r="O192" s="65"/>
      <c r="P192" s="65"/>
      <c r="Q192" s="65"/>
      <c r="R192" s="65"/>
    </row>
    <row r="193" spans="1:18" s="64" customFormat="1" ht="24.75" customHeight="1">
      <c r="A193" s="94">
        <v>172</v>
      </c>
      <c r="B193" s="95" t="s">
        <v>1038</v>
      </c>
      <c r="C193" s="117" t="s">
        <v>397</v>
      </c>
      <c r="D193" s="118" t="s">
        <v>215</v>
      </c>
      <c r="E193" s="94" t="s">
        <v>594</v>
      </c>
      <c r="F193" s="143" t="s">
        <v>1297</v>
      </c>
      <c r="G193" s="98">
        <v>6</v>
      </c>
      <c r="H193" s="99">
        <v>8</v>
      </c>
      <c r="I193" s="98">
        <v>6</v>
      </c>
      <c r="J193" s="98">
        <v>7</v>
      </c>
      <c r="K193" s="98"/>
      <c r="L193" s="100">
        <f t="shared" si="2"/>
        <v>6.8</v>
      </c>
      <c r="M193" s="101" t="s">
        <v>1326</v>
      </c>
      <c r="N193" s="92"/>
      <c r="O193" s="65"/>
      <c r="P193" s="65"/>
      <c r="Q193" s="65"/>
      <c r="R193" s="65"/>
    </row>
    <row r="194" spans="1:18" s="64" customFormat="1" ht="24.75" customHeight="1">
      <c r="A194" s="94">
        <v>173</v>
      </c>
      <c r="B194" s="95" t="s">
        <v>1039</v>
      </c>
      <c r="C194" s="117" t="s">
        <v>70</v>
      </c>
      <c r="D194" s="118" t="s">
        <v>191</v>
      </c>
      <c r="E194" s="94" t="s">
        <v>587</v>
      </c>
      <c r="F194" s="143" t="s">
        <v>1297</v>
      </c>
      <c r="G194" s="98">
        <v>7</v>
      </c>
      <c r="H194" s="99">
        <v>7</v>
      </c>
      <c r="I194" s="98">
        <v>5.5</v>
      </c>
      <c r="J194" s="98">
        <v>7</v>
      </c>
      <c r="K194" s="98"/>
      <c r="L194" s="100">
        <f t="shared" si="2"/>
        <v>6.7</v>
      </c>
      <c r="M194" s="101" t="s">
        <v>1326</v>
      </c>
      <c r="N194" s="92"/>
      <c r="O194" s="65"/>
      <c r="P194" s="65"/>
      <c r="Q194" s="65"/>
      <c r="R194" s="65"/>
    </row>
    <row r="195" spans="1:14" s="65" customFormat="1" ht="24.75" customHeight="1">
      <c r="A195" s="112">
        <v>174</v>
      </c>
      <c r="B195" s="95" t="s">
        <v>1040</v>
      </c>
      <c r="C195" s="122" t="s">
        <v>157</v>
      </c>
      <c r="D195" s="123" t="s">
        <v>64</v>
      </c>
      <c r="E195" s="112" t="s">
        <v>597</v>
      </c>
      <c r="F195" s="143" t="s">
        <v>1297</v>
      </c>
      <c r="G195" s="99">
        <v>7</v>
      </c>
      <c r="H195" s="99">
        <v>7</v>
      </c>
      <c r="I195" s="99">
        <v>7</v>
      </c>
      <c r="J195" s="99">
        <v>8</v>
      </c>
      <c r="K195" s="99"/>
      <c r="L195" s="100">
        <f t="shared" si="2"/>
        <v>7.6</v>
      </c>
      <c r="M195" s="113" t="s">
        <v>1326</v>
      </c>
      <c r="N195" s="92" t="s">
        <v>1341</v>
      </c>
    </row>
    <row r="196" spans="1:14" s="65" customFormat="1" ht="24.75" customHeight="1">
      <c r="A196" s="112">
        <v>175</v>
      </c>
      <c r="B196" s="95" t="s">
        <v>1041</v>
      </c>
      <c r="C196" s="122" t="s">
        <v>214</v>
      </c>
      <c r="D196" s="123" t="s">
        <v>97</v>
      </c>
      <c r="E196" s="112" t="s">
        <v>591</v>
      </c>
      <c r="F196" s="143" t="s">
        <v>1297</v>
      </c>
      <c r="G196" s="99">
        <v>6</v>
      </c>
      <c r="H196" s="99">
        <v>7</v>
      </c>
      <c r="I196" s="99">
        <v>6</v>
      </c>
      <c r="J196" s="99">
        <v>6</v>
      </c>
      <c r="K196" s="99"/>
      <c r="L196" s="100">
        <f t="shared" si="2"/>
        <v>6.1</v>
      </c>
      <c r="M196" s="113" t="s">
        <v>1326</v>
      </c>
      <c r="N196" s="92"/>
    </row>
    <row r="197" spans="1:14" s="65" customFormat="1" ht="24.75" customHeight="1">
      <c r="A197" s="112">
        <v>176</v>
      </c>
      <c r="B197" s="95" t="s">
        <v>1042</v>
      </c>
      <c r="C197" s="122" t="s">
        <v>41</v>
      </c>
      <c r="D197" s="123" t="s">
        <v>218</v>
      </c>
      <c r="E197" s="112" t="s">
        <v>598</v>
      </c>
      <c r="F197" s="143" t="s">
        <v>1297</v>
      </c>
      <c r="G197" s="99">
        <v>6</v>
      </c>
      <c r="H197" s="99">
        <v>7</v>
      </c>
      <c r="I197" s="99">
        <v>5</v>
      </c>
      <c r="J197" s="99">
        <v>7</v>
      </c>
      <c r="K197" s="99"/>
      <c r="L197" s="100">
        <f t="shared" si="2"/>
        <v>6.5</v>
      </c>
      <c r="M197" s="113" t="s">
        <v>1326</v>
      </c>
      <c r="N197" s="92"/>
    </row>
    <row r="198" spans="1:14" s="65" customFormat="1" ht="24.75" customHeight="1">
      <c r="A198" s="112">
        <v>177</v>
      </c>
      <c r="B198" s="95" t="s">
        <v>1043</v>
      </c>
      <c r="C198" s="122" t="s">
        <v>61</v>
      </c>
      <c r="D198" s="123" t="s">
        <v>119</v>
      </c>
      <c r="E198" s="112" t="s">
        <v>588</v>
      </c>
      <c r="F198" s="143" t="s">
        <v>1297</v>
      </c>
      <c r="G198" s="99">
        <v>6</v>
      </c>
      <c r="H198" s="99">
        <v>7</v>
      </c>
      <c r="I198" s="99">
        <v>6</v>
      </c>
      <c r="J198" s="99">
        <v>6</v>
      </c>
      <c r="K198" s="99"/>
      <c r="L198" s="100">
        <f t="shared" si="2"/>
        <v>6.1</v>
      </c>
      <c r="M198" s="113" t="s">
        <v>1326</v>
      </c>
      <c r="N198" s="92"/>
    </row>
    <row r="199" spans="1:18" s="64" customFormat="1" ht="24.75" customHeight="1">
      <c r="A199" s="94">
        <v>178</v>
      </c>
      <c r="B199" s="95" t="s">
        <v>1044</v>
      </c>
      <c r="C199" s="117" t="s">
        <v>41</v>
      </c>
      <c r="D199" s="118" t="s">
        <v>449</v>
      </c>
      <c r="E199" s="94" t="s">
        <v>791</v>
      </c>
      <c r="F199" s="143" t="s">
        <v>1297</v>
      </c>
      <c r="G199" s="98">
        <v>7</v>
      </c>
      <c r="H199" s="99">
        <v>7</v>
      </c>
      <c r="I199" s="98">
        <v>7</v>
      </c>
      <c r="J199" s="98">
        <v>7</v>
      </c>
      <c r="K199" s="98"/>
      <c r="L199" s="100">
        <f t="shared" si="2"/>
        <v>7</v>
      </c>
      <c r="M199" s="101" t="s">
        <v>1326</v>
      </c>
      <c r="N199" s="92"/>
      <c r="O199" s="65"/>
      <c r="P199" s="65"/>
      <c r="Q199" s="65"/>
      <c r="R199" s="65"/>
    </row>
    <row r="200" spans="1:18" s="64" customFormat="1" ht="24.75" customHeight="1">
      <c r="A200" s="94"/>
      <c r="B200" s="95"/>
      <c r="C200" s="117" t="s">
        <v>1379</v>
      </c>
      <c r="D200" s="118" t="s">
        <v>436</v>
      </c>
      <c r="E200" s="147">
        <v>28738</v>
      </c>
      <c r="F200" s="143" t="s">
        <v>1297</v>
      </c>
      <c r="G200" s="98">
        <v>7</v>
      </c>
      <c r="H200" s="99">
        <v>7</v>
      </c>
      <c r="I200" s="98">
        <v>7</v>
      </c>
      <c r="J200" s="98">
        <v>8</v>
      </c>
      <c r="K200" s="98"/>
      <c r="L200" s="100">
        <f t="shared" si="2"/>
        <v>7.6</v>
      </c>
      <c r="M200" s="101" t="s">
        <v>1326</v>
      </c>
      <c r="N200" s="92" t="s">
        <v>1369</v>
      </c>
      <c r="O200" s="65"/>
      <c r="P200" s="65"/>
      <c r="Q200" s="65"/>
      <c r="R200" s="65"/>
    </row>
    <row r="201" spans="1:18" s="64" customFormat="1" ht="24.75" customHeight="1">
      <c r="A201" s="94">
        <v>179</v>
      </c>
      <c r="B201" s="95" t="s">
        <v>1045</v>
      </c>
      <c r="C201" s="117" t="s">
        <v>230</v>
      </c>
      <c r="D201" s="118" t="s">
        <v>37</v>
      </c>
      <c r="E201" s="94" t="s">
        <v>618</v>
      </c>
      <c r="F201" s="143" t="s">
        <v>1299</v>
      </c>
      <c r="G201" s="98">
        <v>7</v>
      </c>
      <c r="H201" s="99">
        <v>7</v>
      </c>
      <c r="I201" s="98">
        <v>3.5</v>
      </c>
      <c r="J201" s="98">
        <v>7</v>
      </c>
      <c r="K201" s="98"/>
      <c r="L201" s="100">
        <f t="shared" si="2"/>
        <v>6.3</v>
      </c>
      <c r="M201" s="101" t="s">
        <v>854</v>
      </c>
      <c r="N201" s="92"/>
      <c r="O201" s="65"/>
      <c r="P201" s="65"/>
      <c r="Q201" s="65"/>
      <c r="R201" s="65"/>
    </row>
    <row r="202" spans="1:18" s="64" customFormat="1" ht="24.75" customHeight="1">
      <c r="A202" s="94">
        <v>180</v>
      </c>
      <c r="B202" s="95" t="s">
        <v>1046</v>
      </c>
      <c r="C202" s="117" t="s">
        <v>208</v>
      </c>
      <c r="D202" s="118" t="s">
        <v>48</v>
      </c>
      <c r="E202" s="94" t="s">
        <v>623</v>
      </c>
      <c r="F202" s="143" t="s">
        <v>1299</v>
      </c>
      <c r="G202" s="98">
        <v>7</v>
      </c>
      <c r="H202" s="99">
        <v>9</v>
      </c>
      <c r="I202" s="98">
        <v>7</v>
      </c>
      <c r="J202" s="98">
        <v>7</v>
      </c>
      <c r="K202" s="98"/>
      <c r="L202" s="100">
        <f t="shared" si="2"/>
        <v>7.2</v>
      </c>
      <c r="M202" s="101" t="s">
        <v>854</v>
      </c>
      <c r="N202" s="92"/>
      <c r="O202" s="65"/>
      <c r="P202" s="65"/>
      <c r="Q202" s="65"/>
      <c r="R202" s="65"/>
    </row>
    <row r="203" spans="1:18" s="64" customFormat="1" ht="24.75" customHeight="1">
      <c r="A203" s="94">
        <v>181</v>
      </c>
      <c r="B203" s="95" t="s">
        <v>1047</v>
      </c>
      <c r="C203" s="117" t="s">
        <v>232</v>
      </c>
      <c r="D203" s="118" t="s">
        <v>49</v>
      </c>
      <c r="E203" s="94" t="s">
        <v>622</v>
      </c>
      <c r="F203" s="143" t="s">
        <v>1299</v>
      </c>
      <c r="G203" s="98">
        <v>7</v>
      </c>
      <c r="H203" s="99">
        <v>7</v>
      </c>
      <c r="I203" s="98">
        <v>7</v>
      </c>
      <c r="J203" s="98">
        <v>5</v>
      </c>
      <c r="K203" s="98"/>
      <c r="L203" s="100">
        <f t="shared" si="2"/>
        <v>5.8</v>
      </c>
      <c r="M203" s="101" t="s">
        <v>854</v>
      </c>
      <c r="N203" s="92"/>
      <c r="O203" s="65"/>
      <c r="P203" s="65"/>
      <c r="Q203" s="65"/>
      <c r="R203" s="65"/>
    </row>
    <row r="204" spans="1:18" s="64" customFormat="1" ht="24.75" customHeight="1">
      <c r="A204" s="94">
        <v>182</v>
      </c>
      <c r="B204" s="95" t="s">
        <v>1048</v>
      </c>
      <c r="C204" s="117" t="s">
        <v>405</v>
      </c>
      <c r="D204" s="118" t="s">
        <v>49</v>
      </c>
      <c r="E204" s="94" t="s">
        <v>621</v>
      </c>
      <c r="F204" s="143" t="s">
        <v>1299</v>
      </c>
      <c r="G204" s="98">
        <v>6</v>
      </c>
      <c r="H204" s="99">
        <v>7</v>
      </c>
      <c r="I204" s="98">
        <v>3.5</v>
      </c>
      <c r="J204" s="98">
        <v>8</v>
      </c>
      <c r="K204" s="98"/>
      <c r="L204" s="100">
        <f t="shared" si="2"/>
        <v>6.8</v>
      </c>
      <c r="M204" s="101" t="s">
        <v>854</v>
      </c>
      <c r="N204" s="92"/>
      <c r="O204" s="65"/>
      <c r="P204" s="65"/>
      <c r="Q204" s="65"/>
      <c r="R204" s="65"/>
    </row>
    <row r="205" spans="1:18" s="64" customFormat="1" ht="24.75" customHeight="1">
      <c r="A205" s="94">
        <v>183</v>
      </c>
      <c r="B205" s="95" t="s">
        <v>1049</v>
      </c>
      <c r="C205" s="117" t="s">
        <v>348</v>
      </c>
      <c r="D205" s="118" t="s">
        <v>51</v>
      </c>
      <c r="E205" s="94" t="s">
        <v>840</v>
      </c>
      <c r="F205" s="143" t="s">
        <v>1299</v>
      </c>
      <c r="G205" s="98">
        <v>7</v>
      </c>
      <c r="H205" s="99">
        <v>0</v>
      </c>
      <c r="I205" s="98">
        <v>7</v>
      </c>
      <c r="J205" s="98">
        <v>7</v>
      </c>
      <c r="K205" s="98"/>
      <c r="L205" s="100">
        <f t="shared" si="2"/>
        <v>6.3</v>
      </c>
      <c r="M205" s="101" t="s">
        <v>854</v>
      </c>
      <c r="N205" s="92"/>
      <c r="O205" s="65"/>
      <c r="P205" s="65"/>
      <c r="Q205" s="65"/>
      <c r="R205" s="65"/>
    </row>
    <row r="206" spans="1:18" s="66" customFormat="1" ht="24.75" customHeight="1">
      <c r="A206" s="114">
        <v>184</v>
      </c>
      <c r="B206" s="105" t="s">
        <v>1050</v>
      </c>
      <c r="C206" s="119" t="s">
        <v>128</v>
      </c>
      <c r="D206" s="120" t="s">
        <v>58</v>
      </c>
      <c r="E206" s="114" t="s">
        <v>624</v>
      </c>
      <c r="F206" s="144" t="s">
        <v>1299</v>
      </c>
      <c r="G206" s="115"/>
      <c r="H206" s="108"/>
      <c r="I206" s="115"/>
      <c r="J206" s="115"/>
      <c r="K206" s="115"/>
      <c r="L206" s="109">
        <f t="shared" si="2"/>
        <v>0</v>
      </c>
      <c r="M206" s="116" t="s">
        <v>854</v>
      </c>
      <c r="N206" s="111" t="s">
        <v>1346</v>
      </c>
      <c r="O206" s="79"/>
      <c r="P206" s="79"/>
      <c r="Q206" s="79"/>
      <c r="R206" s="79"/>
    </row>
    <row r="207" spans="1:18" s="64" customFormat="1" ht="24.75" customHeight="1">
      <c r="A207" s="94">
        <v>185</v>
      </c>
      <c r="B207" s="95" t="s">
        <v>1051</v>
      </c>
      <c r="C207" s="117" t="s">
        <v>231</v>
      </c>
      <c r="D207" s="118" t="s">
        <v>394</v>
      </c>
      <c r="E207" s="94" t="s">
        <v>619</v>
      </c>
      <c r="F207" s="143" t="s">
        <v>1299</v>
      </c>
      <c r="G207" s="98">
        <v>6</v>
      </c>
      <c r="H207" s="99">
        <v>9</v>
      </c>
      <c r="I207" s="98">
        <v>5.5</v>
      </c>
      <c r="J207" s="98">
        <v>8</v>
      </c>
      <c r="K207" s="98"/>
      <c r="L207" s="100">
        <f t="shared" si="2"/>
        <v>7.4</v>
      </c>
      <c r="M207" s="101" t="s">
        <v>854</v>
      </c>
      <c r="N207" s="92"/>
      <c r="O207" s="65"/>
      <c r="P207" s="65"/>
      <c r="Q207" s="65"/>
      <c r="R207" s="65"/>
    </row>
    <row r="208" spans="1:18" s="64" customFormat="1" ht="24.75" customHeight="1">
      <c r="A208" s="94">
        <v>186</v>
      </c>
      <c r="B208" s="95" t="s">
        <v>1052</v>
      </c>
      <c r="C208" s="117" t="s">
        <v>378</v>
      </c>
      <c r="D208" s="118" t="s">
        <v>116</v>
      </c>
      <c r="E208" s="94" t="s">
        <v>615</v>
      </c>
      <c r="F208" s="143" t="s">
        <v>1299</v>
      </c>
      <c r="G208" s="98">
        <v>6</v>
      </c>
      <c r="H208" s="99">
        <v>8</v>
      </c>
      <c r="I208" s="98">
        <v>5.5</v>
      </c>
      <c r="J208" s="98">
        <v>8</v>
      </c>
      <c r="K208" s="98"/>
      <c r="L208" s="100">
        <f t="shared" si="2"/>
        <v>7.3</v>
      </c>
      <c r="M208" s="101" t="s">
        <v>854</v>
      </c>
      <c r="N208" s="92"/>
      <c r="O208" s="65"/>
      <c r="P208" s="65"/>
      <c r="Q208" s="65"/>
      <c r="R208" s="65"/>
    </row>
    <row r="209" spans="1:18" s="64" customFormat="1" ht="24.75" customHeight="1">
      <c r="A209" s="94">
        <v>187</v>
      </c>
      <c r="B209" s="95" t="s">
        <v>1053</v>
      </c>
      <c r="C209" s="117" t="s">
        <v>228</v>
      </c>
      <c r="D209" s="118" t="s">
        <v>63</v>
      </c>
      <c r="E209" s="94" t="s">
        <v>614</v>
      </c>
      <c r="F209" s="143" t="s">
        <v>1299</v>
      </c>
      <c r="G209" s="98">
        <v>6</v>
      </c>
      <c r="H209" s="99">
        <v>6</v>
      </c>
      <c r="I209" s="98">
        <v>7.5</v>
      </c>
      <c r="J209" s="98">
        <v>5</v>
      </c>
      <c r="K209" s="98"/>
      <c r="L209" s="100">
        <f t="shared" si="2"/>
        <v>5.7</v>
      </c>
      <c r="M209" s="101" t="s">
        <v>854</v>
      </c>
      <c r="N209" s="92"/>
      <c r="O209" s="65"/>
      <c r="P209" s="65"/>
      <c r="Q209" s="65"/>
      <c r="R209" s="65"/>
    </row>
    <row r="210" spans="1:18" s="64" customFormat="1" ht="24.75" customHeight="1">
      <c r="A210" s="94">
        <v>188</v>
      </c>
      <c r="B210" s="95" t="s">
        <v>1054</v>
      </c>
      <c r="C210" s="117" t="s">
        <v>404</v>
      </c>
      <c r="D210" s="118" t="s">
        <v>64</v>
      </c>
      <c r="E210" s="94" t="s">
        <v>620</v>
      </c>
      <c r="F210" s="143" t="s">
        <v>1299</v>
      </c>
      <c r="G210" s="98">
        <v>6</v>
      </c>
      <c r="H210" s="99">
        <v>7</v>
      </c>
      <c r="I210" s="98">
        <v>4</v>
      </c>
      <c r="J210" s="98">
        <v>7</v>
      </c>
      <c r="K210" s="98"/>
      <c r="L210" s="100">
        <f t="shared" si="2"/>
        <v>6.3</v>
      </c>
      <c r="M210" s="101" t="s">
        <v>854</v>
      </c>
      <c r="N210" s="92"/>
      <c r="O210" s="65"/>
      <c r="P210" s="65"/>
      <c r="Q210" s="65"/>
      <c r="R210" s="65"/>
    </row>
    <row r="211" spans="1:18" s="64" customFormat="1" ht="24.75" customHeight="1">
      <c r="A211" s="94">
        <v>189</v>
      </c>
      <c r="B211" s="95" t="s">
        <v>1055</v>
      </c>
      <c r="C211" s="117" t="s">
        <v>403</v>
      </c>
      <c r="D211" s="118" t="s">
        <v>115</v>
      </c>
      <c r="E211" s="94" t="s">
        <v>617</v>
      </c>
      <c r="F211" s="143" t="s">
        <v>1299</v>
      </c>
      <c r="G211" s="98">
        <v>6</v>
      </c>
      <c r="H211" s="99">
        <v>7</v>
      </c>
      <c r="I211" s="98">
        <v>4</v>
      </c>
      <c r="J211" s="98">
        <v>6</v>
      </c>
      <c r="K211" s="98"/>
      <c r="L211" s="100">
        <f t="shared" si="2"/>
        <v>5.7</v>
      </c>
      <c r="M211" s="101" t="s">
        <v>854</v>
      </c>
      <c r="N211" s="92"/>
      <c r="O211" s="65"/>
      <c r="P211" s="65"/>
      <c r="Q211" s="65"/>
      <c r="R211" s="65"/>
    </row>
    <row r="212" spans="1:18" s="64" customFormat="1" ht="24.75" customHeight="1">
      <c r="A212" s="94">
        <v>190</v>
      </c>
      <c r="B212" s="95" t="s">
        <v>1056</v>
      </c>
      <c r="C212" s="117" t="s">
        <v>349</v>
      </c>
      <c r="D212" s="118" t="s">
        <v>866</v>
      </c>
      <c r="E212" s="94" t="s">
        <v>841</v>
      </c>
      <c r="F212" s="143" t="s">
        <v>1299</v>
      </c>
      <c r="G212" s="98">
        <v>6</v>
      </c>
      <c r="H212" s="99">
        <v>7</v>
      </c>
      <c r="I212" s="98">
        <v>0</v>
      </c>
      <c r="J212" s="98">
        <v>8</v>
      </c>
      <c r="K212" s="98"/>
      <c r="L212" s="100">
        <f aca="true" t="shared" si="3" ref="L212:L275">ROUND(G212*$C$11+H212*$C$12+I212*$C$13+J212*$C$14+K212*$C$15,1)</f>
        <v>6.1</v>
      </c>
      <c r="M212" s="101" t="s">
        <v>854</v>
      </c>
      <c r="N212" s="92"/>
      <c r="O212" s="65"/>
      <c r="P212" s="65"/>
      <c r="Q212" s="65"/>
      <c r="R212" s="65"/>
    </row>
    <row r="213" spans="1:18" s="64" customFormat="1" ht="24.75" customHeight="1">
      <c r="A213" s="94">
        <v>191</v>
      </c>
      <c r="B213" s="95" t="s">
        <v>1057</v>
      </c>
      <c r="C213" s="117" t="s">
        <v>39</v>
      </c>
      <c r="D213" s="118" t="s">
        <v>218</v>
      </c>
      <c r="E213" s="94" t="s">
        <v>625</v>
      </c>
      <c r="F213" s="143" t="s">
        <v>1299</v>
      </c>
      <c r="G213" s="98">
        <v>6</v>
      </c>
      <c r="H213" s="99">
        <v>8</v>
      </c>
      <c r="I213" s="98">
        <v>2</v>
      </c>
      <c r="J213" s="98">
        <v>5</v>
      </c>
      <c r="K213" s="98"/>
      <c r="L213" s="100">
        <f t="shared" si="3"/>
        <v>4.8</v>
      </c>
      <c r="M213" s="101" t="s">
        <v>854</v>
      </c>
      <c r="N213" s="92"/>
      <c r="O213" s="65"/>
      <c r="P213" s="65"/>
      <c r="Q213" s="65"/>
      <c r="R213" s="65"/>
    </row>
    <row r="214" spans="1:18" s="64" customFormat="1" ht="24.75" customHeight="1">
      <c r="A214" s="94">
        <v>192</v>
      </c>
      <c r="B214" s="95" t="s">
        <v>1058</v>
      </c>
      <c r="C214" s="117" t="s">
        <v>229</v>
      </c>
      <c r="D214" s="118" t="s">
        <v>162</v>
      </c>
      <c r="E214" s="94" t="s">
        <v>616</v>
      </c>
      <c r="F214" s="143" t="s">
        <v>1299</v>
      </c>
      <c r="G214" s="98">
        <v>6</v>
      </c>
      <c r="H214" s="99">
        <v>6</v>
      </c>
      <c r="I214" s="98">
        <v>6</v>
      </c>
      <c r="J214" s="98">
        <v>6</v>
      </c>
      <c r="K214" s="98"/>
      <c r="L214" s="100">
        <f t="shared" si="3"/>
        <v>6</v>
      </c>
      <c r="M214" s="101" t="s">
        <v>854</v>
      </c>
      <c r="N214" s="92"/>
      <c r="O214" s="65"/>
      <c r="P214" s="65"/>
      <c r="Q214" s="65"/>
      <c r="R214" s="65"/>
    </row>
    <row r="215" spans="1:18" s="64" customFormat="1" ht="24.75" customHeight="1">
      <c r="A215" s="94">
        <v>193</v>
      </c>
      <c r="B215" s="95" t="s">
        <v>1059</v>
      </c>
      <c r="C215" s="117" t="s">
        <v>236</v>
      </c>
      <c r="D215" s="118" t="s">
        <v>37</v>
      </c>
      <c r="E215" s="94" t="s">
        <v>631</v>
      </c>
      <c r="F215" s="143" t="s">
        <v>1300</v>
      </c>
      <c r="G215" s="98">
        <v>6</v>
      </c>
      <c r="H215" s="99">
        <v>7</v>
      </c>
      <c r="I215" s="98">
        <v>6</v>
      </c>
      <c r="J215" s="98">
        <v>9</v>
      </c>
      <c r="K215" s="98"/>
      <c r="L215" s="100">
        <f t="shared" si="3"/>
        <v>7.9</v>
      </c>
      <c r="M215" s="101" t="s">
        <v>1327</v>
      </c>
      <c r="N215" s="92"/>
      <c r="O215" s="65"/>
      <c r="P215" s="65"/>
      <c r="Q215" s="65"/>
      <c r="R215" s="65"/>
    </row>
    <row r="216" spans="1:18" s="64" customFormat="1" ht="24.75" customHeight="1">
      <c r="A216" s="94">
        <v>194</v>
      </c>
      <c r="B216" s="95" t="s">
        <v>1060</v>
      </c>
      <c r="C216" s="117" t="s">
        <v>341</v>
      </c>
      <c r="D216" s="118" t="s">
        <v>37</v>
      </c>
      <c r="E216" s="94" t="s">
        <v>824</v>
      </c>
      <c r="F216" s="143" t="s">
        <v>1300</v>
      </c>
      <c r="G216" s="98">
        <v>8</v>
      </c>
      <c r="H216" s="99">
        <v>7</v>
      </c>
      <c r="I216" s="98">
        <v>8</v>
      </c>
      <c r="J216" s="98">
        <v>7</v>
      </c>
      <c r="K216" s="98"/>
      <c r="L216" s="100">
        <f t="shared" si="3"/>
        <v>7.3</v>
      </c>
      <c r="M216" s="101" t="s">
        <v>1327</v>
      </c>
      <c r="N216" s="92"/>
      <c r="O216" s="65"/>
      <c r="P216" s="65"/>
      <c r="Q216" s="65"/>
      <c r="R216" s="65"/>
    </row>
    <row r="217" spans="1:18" s="64" customFormat="1" ht="24.75" customHeight="1">
      <c r="A217" s="94">
        <v>195</v>
      </c>
      <c r="B217" s="95" t="s">
        <v>1061</v>
      </c>
      <c r="C217" s="117" t="s">
        <v>159</v>
      </c>
      <c r="D217" s="118" t="s">
        <v>173</v>
      </c>
      <c r="E217" s="94" t="s">
        <v>637</v>
      </c>
      <c r="F217" s="143" t="s">
        <v>1300</v>
      </c>
      <c r="G217" s="98">
        <v>8</v>
      </c>
      <c r="H217" s="99">
        <v>6</v>
      </c>
      <c r="I217" s="98">
        <v>8</v>
      </c>
      <c r="J217" s="98">
        <v>7</v>
      </c>
      <c r="K217" s="98"/>
      <c r="L217" s="100">
        <f t="shared" si="3"/>
        <v>7.2</v>
      </c>
      <c r="M217" s="101" t="s">
        <v>1327</v>
      </c>
      <c r="N217" s="92"/>
      <c r="O217" s="65"/>
      <c r="P217" s="65"/>
      <c r="Q217" s="65"/>
      <c r="R217" s="65"/>
    </row>
    <row r="218" spans="1:18" s="64" customFormat="1" ht="24.75" customHeight="1">
      <c r="A218" s="94">
        <v>196</v>
      </c>
      <c r="B218" s="95" t="s">
        <v>1062</v>
      </c>
      <c r="C218" s="117" t="s">
        <v>167</v>
      </c>
      <c r="D218" s="118" t="s">
        <v>194</v>
      </c>
      <c r="E218" s="94" t="s">
        <v>465</v>
      </c>
      <c r="F218" s="143" t="s">
        <v>1300</v>
      </c>
      <c r="G218" s="98">
        <v>7</v>
      </c>
      <c r="H218" s="99">
        <v>7</v>
      </c>
      <c r="I218" s="98">
        <v>7</v>
      </c>
      <c r="J218" s="98">
        <v>7</v>
      </c>
      <c r="K218" s="98"/>
      <c r="L218" s="100">
        <f t="shared" si="3"/>
        <v>7</v>
      </c>
      <c r="M218" s="101" t="s">
        <v>1327</v>
      </c>
      <c r="N218" s="92"/>
      <c r="O218" s="65"/>
      <c r="P218" s="65"/>
      <c r="Q218" s="65"/>
      <c r="R218" s="65"/>
    </row>
    <row r="219" spans="1:18" s="64" customFormat="1" ht="24.75" customHeight="1">
      <c r="A219" s="94">
        <v>197</v>
      </c>
      <c r="B219" s="95" t="s">
        <v>1063</v>
      </c>
      <c r="C219" s="117" t="s">
        <v>295</v>
      </c>
      <c r="D219" s="118" t="s">
        <v>325</v>
      </c>
      <c r="E219" s="94" t="s">
        <v>791</v>
      </c>
      <c r="F219" s="143" t="s">
        <v>1300</v>
      </c>
      <c r="G219" s="98">
        <v>7</v>
      </c>
      <c r="H219" s="99">
        <v>7</v>
      </c>
      <c r="I219" s="98">
        <v>7</v>
      </c>
      <c r="J219" s="98">
        <v>8</v>
      </c>
      <c r="K219" s="98"/>
      <c r="L219" s="100">
        <f t="shared" si="3"/>
        <v>7.6</v>
      </c>
      <c r="M219" s="101" t="s">
        <v>1327</v>
      </c>
      <c r="N219" s="92"/>
      <c r="O219" s="65"/>
      <c r="P219" s="65"/>
      <c r="Q219" s="65"/>
      <c r="R219" s="65"/>
    </row>
    <row r="220" spans="1:18" s="64" customFormat="1" ht="24.75" customHeight="1">
      <c r="A220" s="94">
        <v>198</v>
      </c>
      <c r="B220" s="95" t="s">
        <v>1064</v>
      </c>
      <c r="C220" s="117" t="s">
        <v>451</v>
      </c>
      <c r="D220" s="118" t="s">
        <v>47</v>
      </c>
      <c r="E220" s="94" t="s">
        <v>822</v>
      </c>
      <c r="F220" s="143" t="s">
        <v>1300</v>
      </c>
      <c r="G220" s="98">
        <v>9</v>
      </c>
      <c r="H220" s="99">
        <v>6</v>
      </c>
      <c r="I220" s="98">
        <v>8.5</v>
      </c>
      <c r="J220" s="98">
        <v>9</v>
      </c>
      <c r="K220" s="98"/>
      <c r="L220" s="100">
        <f t="shared" si="3"/>
        <v>8.6</v>
      </c>
      <c r="M220" s="101" t="s">
        <v>1327</v>
      </c>
      <c r="N220" s="92"/>
      <c r="O220" s="65"/>
      <c r="P220" s="65"/>
      <c r="Q220" s="65"/>
      <c r="R220" s="65"/>
    </row>
    <row r="221" spans="1:14" s="65" customFormat="1" ht="24.75" customHeight="1">
      <c r="A221" s="112">
        <v>199</v>
      </c>
      <c r="B221" s="95" t="s">
        <v>1065</v>
      </c>
      <c r="C221" s="122" t="s">
        <v>219</v>
      </c>
      <c r="D221" s="123" t="s">
        <v>48</v>
      </c>
      <c r="E221" s="112" t="s">
        <v>463</v>
      </c>
      <c r="F221" s="143" t="s">
        <v>1300</v>
      </c>
      <c r="G221" s="99">
        <v>6</v>
      </c>
      <c r="H221" s="99">
        <v>8</v>
      </c>
      <c r="I221" s="99">
        <v>6</v>
      </c>
      <c r="J221" s="99">
        <v>5</v>
      </c>
      <c r="K221" s="99"/>
      <c r="L221" s="100">
        <f t="shared" si="3"/>
        <v>5.6</v>
      </c>
      <c r="M221" s="113" t="s">
        <v>1327</v>
      </c>
      <c r="N221" s="92"/>
    </row>
    <row r="222" spans="1:18" s="64" customFormat="1" ht="24.75" customHeight="1">
      <c r="A222" s="94">
        <v>200</v>
      </c>
      <c r="B222" s="95" t="s">
        <v>1066</v>
      </c>
      <c r="C222" s="117" t="s">
        <v>233</v>
      </c>
      <c r="D222" s="118" t="s">
        <v>48</v>
      </c>
      <c r="E222" s="94" t="s">
        <v>626</v>
      </c>
      <c r="F222" s="143" t="s">
        <v>1300</v>
      </c>
      <c r="G222" s="98">
        <v>6</v>
      </c>
      <c r="H222" s="99">
        <v>5</v>
      </c>
      <c r="I222" s="98">
        <v>5.5</v>
      </c>
      <c r="J222" s="98">
        <v>8</v>
      </c>
      <c r="K222" s="98"/>
      <c r="L222" s="100">
        <f t="shared" si="3"/>
        <v>7</v>
      </c>
      <c r="M222" s="101" t="s">
        <v>1327</v>
      </c>
      <c r="N222" s="92"/>
      <c r="O222" s="65"/>
      <c r="P222" s="65"/>
      <c r="Q222" s="65"/>
      <c r="R222" s="65"/>
    </row>
    <row r="223" spans="1:18" s="64" customFormat="1" ht="24.75" customHeight="1">
      <c r="A223" s="94">
        <v>201</v>
      </c>
      <c r="B223" s="95" t="s">
        <v>1067</v>
      </c>
      <c r="C223" s="117" t="s">
        <v>233</v>
      </c>
      <c r="D223" s="118" t="s">
        <v>86</v>
      </c>
      <c r="E223" s="94" t="s">
        <v>632</v>
      </c>
      <c r="F223" s="143" t="s">
        <v>1300</v>
      </c>
      <c r="G223" s="98">
        <v>7</v>
      </c>
      <c r="H223" s="99">
        <v>6</v>
      </c>
      <c r="I223" s="98">
        <v>6.5</v>
      </c>
      <c r="J223" s="98">
        <v>7</v>
      </c>
      <c r="K223" s="98"/>
      <c r="L223" s="100">
        <f t="shared" si="3"/>
        <v>6.8</v>
      </c>
      <c r="M223" s="101" t="s">
        <v>1327</v>
      </c>
      <c r="N223" s="92"/>
      <c r="O223" s="65"/>
      <c r="P223" s="65"/>
      <c r="Q223" s="65"/>
      <c r="R223" s="65"/>
    </row>
    <row r="224" spans="1:18" s="64" customFormat="1" ht="24.75" customHeight="1">
      <c r="A224" s="94">
        <v>202</v>
      </c>
      <c r="B224" s="95" t="s">
        <v>1068</v>
      </c>
      <c r="C224" s="117" t="s">
        <v>41</v>
      </c>
      <c r="D224" s="118" t="s">
        <v>235</v>
      </c>
      <c r="E224" s="94" t="s">
        <v>628</v>
      </c>
      <c r="F224" s="143" t="s">
        <v>1300</v>
      </c>
      <c r="G224" s="98">
        <v>6</v>
      </c>
      <c r="H224" s="99">
        <v>7</v>
      </c>
      <c r="I224" s="98">
        <v>5.5</v>
      </c>
      <c r="J224" s="98">
        <v>9</v>
      </c>
      <c r="K224" s="98"/>
      <c r="L224" s="100">
        <f t="shared" si="3"/>
        <v>7.8</v>
      </c>
      <c r="M224" s="101" t="s">
        <v>1327</v>
      </c>
      <c r="N224" s="92"/>
      <c r="O224" s="65"/>
      <c r="P224" s="65"/>
      <c r="Q224" s="65"/>
      <c r="R224" s="65"/>
    </row>
    <row r="225" spans="1:18" s="64" customFormat="1" ht="24.75" customHeight="1">
      <c r="A225" s="94">
        <v>203</v>
      </c>
      <c r="B225" s="95" t="s">
        <v>1069</v>
      </c>
      <c r="C225" s="117" t="s">
        <v>122</v>
      </c>
      <c r="D225" s="118" t="s">
        <v>89</v>
      </c>
      <c r="E225" s="94" t="s">
        <v>635</v>
      </c>
      <c r="F225" s="143" t="s">
        <v>1300</v>
      </c>
      <c r="G225" s="98">
        <v>7</v>
      </c>
      <c r="H225" s="99">
        <v>7</v>
      </c>
      <c r="I225" s="98">
        <v>7</v>
      </c>
      <c r="J225" s="98">
        <v>6</v>
      </c>
      <c r="K225" s="98"/>
      <c r="L225" s="100">
        <f t="shared" si="3"/>
        <v>6.4</v>
      </c>
      <c r="M225" s="101" t="s">
        <v>1327</v>
      </c>
      <c r="N225" s="92"/>
      <c r="O225" s="65"/>
      <c r="P225" s="65"/>
      <c r="Q225" s="65"/>
      <c r="R225" s="65"/>
    </row>
    <row r="226" spans="1:14" s="65" customFormat="1" ht="24.75" customHeight="1">
      <c r="A226" s="112">
        <v>204</v>
      </c>
      <c r="B226" s="95" t="s">
        <v>1070</v>
      </c>
      <c r="C226" s="122" t="s">
        <v>237</v>
      </c>
      <c r="D226" s="123" t="s">
        <v>89</v>
      </c>
      <c r="E226" s="112" t="s">
        <v>633</v>
      </c>
      <c r="F226" s="143" t="s">
        <v>1300</v>
      </c>
      <c r="G226" s="99">
        <v>0</v>
      </c>
      <c r="H226" s="99">
        <v>6</v>
      </c>
      <c r="I226" s="99">
        <v>0</v>
      </c>
      <c r="J226" s="99">
        <v>8</v>
      </c>
      <c r="K226" s="99"/>
      <c r="L226" s="100">
        <f t="shared" si="3"/>
        <v>5.4</v>
      </c>
      <c r="M226" s="113" t="s">
        <v>1327</v>
      </c>
      <c r="N226" s="92" t="s">
        <v>1354</v>
      </c>
    </row>
    <row r="227" spans="1:18" s="68" customFormat="1" ht="24.75" customHeight="1">
      <c r="A227" s="94">
        <v>205</v>
      </c>
      <c r="B227" s="95" t="s">
        <v>1071</v>
      </c>
      <c r="C227" s="117" t="s">
        <v>61</v>
      </c>
      <c r="D227" s="118" t="s">
        <v>342</v>
      </c>
      <c r="E227" s="94" t="s">
        <v>825</v>
      </c>
      <c r="F227" s="143" t="s">
        <v>1300</v>
      </c>
      <c r="G227" s="98">
        <v>8</v>
      </c>
      <c r="H227" s="99">
        <v>7</v>
      </c>
      <c r="I227" s="98">
        <v>8</v>
      </c>
      <c r="J227" s="98">
        <v>8</v>
      </c>
      <c r="K227" s="98"/>
      <c r="L227" s="100">
        <f t="shared" si="3"/>
        <v>7.9</v>
      </c>
      <c r="M227" s="101" t="s">
        <v>1327</v>
      </c>
      <c r="N227" s="92"/>
      <c r="O227" s="65"/>
      <c r="P227" s="65"/>
      <c r="Q227" s="65"/>
      <c r="R227" s="65"/>
    </row>
    <row r="228" spans="1:18" s="64" customFormat="1" ht="24.75" customHeight="1">
      <c r="A228" s="94">
        <v>206</v>
      </c>
      <c r="B228" s="95" t="s">
        <v>1072</v>
      </c>
      <c r="C228" s="117" t="s">
        <v>52</v>
      </c>
      <c r="D228" s="118" t="s">
        <v>238</v>
      </c>
      <c r="E228" s="94" t="s">
        <v>636</v>
      </c>
      <c r="F228" s="143" t="s">
        <v>1300</v>
      </c>
      <c r="G228" s="98">
        <v>7</v>
      </c>
      <c r="H228" s="99">
        <v>4</v>
      </c>
      <c r="I228" s="98">
        <v>7</v>
      </c>
      <c r="J228" s="98">
        <v>7</v>
      </c>
      <c r="K228" s="98"/>
      <c r="L228" s="100">
        <f t="shared" si="3"/>
        <v>6.7</v>
      </c>
      <c r="M228" s="101" t="s">
        <v>1327</v>
      </c>
      <c r="N228" s="92"/>
      <c r="O228" s="65"/>
      <c r="P228" s="65"/>
      <c r="Q228" s="65"/>
      <c r="R228" s="65"/>
    </row>
    <row r="229" spans="1:18" s="64" customFormat="1" ht="24.75" customHeight="1">
      <c r="A229" s="94">
        <v>207</v>
      </c>
      <c r="B229" s="95" t="s">
        <v>1073</v>
      </c>
      <c r="C229" s="117" t="s">
        <v>79</v>
      </c>
      <c r="D229" s="118" t="s">
        <v>62</v>
      </c>
      <c r="E229" s="94" t="s">
        <v>572</v>
      </c>
      <c r="F229" s="143" t="s">
        <v>1300</v>
      </c>
      <c r="G229" s="98">
        <v>8</v>
      </c>
      <c r="H229" s="99">
        <v>6</v>
      </c>
      <c r="I229" s="98">
        <v>8</v>
      </c>
      <c r="J229" s="98">
        <v>7</v>
      </c>
      <c r="K229" s="98"/>
      <c r="L229" s="100">
        <f t="shared" si="3"/>
        <v>7.2</v>
      </c>
      <c r="M229" s="101" t="s">
        <v>1327</v>
      </c>
      <c r="N229" s="92"/>
      <c r="O229" s="65"/>
      <c r="P229" s="65"/>
      <c r="Q229" s="65"/>
      <c r="R229" s="65"/>
    </row>
    <row r="230" spans="1:18" s="64" customFormat="1" ht="29.25" customHeight="1">
      <c r="A230" s="94">
        <v>208</v>
      </c>
      <c r="B230" s="95" t="s">
        <v>1074</v>
      </c>
      <c r="C230" s="117" t="s">
        <v>180</v>
      </c>
      <c r="D230" s="118" t="s">
        <v>62</v>
      </c>
      <c r="E230" s="94" t="s">
        <v>667</v>
      </c>
      <c r="F230" s="143" t="s">
        <v>1300</v>
      </c>
      <c r="G230" s="98">
        <v>6</v>
      </c>
      <c r="H230" s="99">
        <v>6</v>
      </c>
      <c r="I230" s="98">
        <v>6</v>
      </c>
      <c r="J230" s="98">
        <v>8</v>
      </c>
      <c r="K230" s="98"/>
      <c r="L230" s="100">
        <f t="shared" si="3"/>
        <v>7.2</v>
      </c>
      <c r="M230" s="101" t="s">
        <v>1373</v>
      </c>
      <c r="N230" s="92"/>
      <c r="O230" s="65"/>
      <c r="P230" s="65"/>
      <c r="Q230" s="65"/>
      <c r="R230" s="65"/>
    </row>
    <row r="231" spans="1:18" s="66" customFormat="1" ht="24.75" customHeight="1">
      <c r="A231" s="114">
        <v>209</v>
      </c>
      <c r="B231" s="105" t="s">
        <v>1075</v>
      </c>
      <c r="C231" s="119" t="s">
        <v>41</v>
      </c>
      <c r="D231" s="120" t="s">
        <v>184</v>
      </c>
      <c r="E231" s="114" t="s">
        <v>630</v>
      </c>
      <c r="F231" s="144" t="s">
        <v>1300</v>
      </c>
      <c r="G231" s="115"/>
      <c r="H231" s="108"/>
      <c r="I231" s="115"/>
      <c r="J231" s="115"/>
      <c r="K231" s="115"/>
      <c r="L231" s="109">
        <f t="shared" si="3"/>
        <v>0</v>
      </c>
      <c r="M231" s="116" t="s">
        <v>1327</v>
      </c>
      <c r="N231" s="111" t="s">
        <v>1346</v>
      </c>
      <c r="O231" s="79"/>
      <c r="P231" s="79"/>
      <c r="Q231" s="79"/>
      <c r="R231" s="79"/>
    </row>
    <row r="232" spans="1:18" s="64" customFormat="1" ht="24.75" customHeight="1">
      <c r="A232" s="94">
        <v>210</v>
      </c>
      <c r="B232" s="95" t="s">
        <v>1076</v>
      </c>
      <c r="C232" s="117" t="s">
        <v>324</v>
      </c>
      <c r="D232" s="118" t="s">
        <v>442</v>
      </c>
      <c r="E232" s="94" t="s">
        <v>790</v>
      </c>
      <c r="F232" s="143" t="s">
        <v>1300</v>
      </c>
      <c r="G232" s="98">
        <v>8</v>
      </c>
      <c r="H232" s="99">
        <v>5</v>
      </c>
      <c r="I232" s="98">
        <v>8</v>
      </c>
      <c r="J232" s="98">
        <v>8</v>
      </c>
      <c r="K232" s="98"/>
      <c r="L232" s="100">
        <f t="shared" si="3"/>
        <v>7.7</v>
      </c>
      <c r="M232" s="101" t="s">
        <v>1327</v>
      </c>
      <c r="N232" s="92"/>
      <c r="O232" s="65"/>
      <c r="P232" s="65"/>
      <c r="Q232" s="65"/>
      <c r="R232" s="65"/>
    </row>
    <row r="233" spans="1:18" s="64" customFormat="1" ht="24.75" customHeight="1">
      <c r="A233" s="94">
        <v>211</v>
      </c>
      <c r="B233" s="95" t="s">
        <v>1077</v>
      </c>
      <c r="C233" s="117" t="s">
        <v>52</v>
      </c>
      <c r="D233" s="118" t="s">
        <v>146</v>
      </c>
      <c r="E233" s="94" t="s">
        <v>826</v>
      </c>
      <c r="F233" s="143" t="s">
        <v>1300</v>
      </c>
      <c r="G233" s="98">
        <v>8</v>
      </c>
      <c r="H233" s="99">
        <v>6</v>
      </c>
      <c r="I233" s="98">
        <v>8</v>
      </c>
      <c r="J233" s="98">
        <v>7</v>
      </c>
      <c r="K233" s="98"/>
      <c r="L233" s="100">
        <f t="shared" si="3"/>
        <v>7.2</v>
      </c>
      <c r="M233" s="101" t="s">
        <v>1327</v>
      </c>
      <c r="N233" s="92"/>
      <c r="O233" s="65"/>
      <c r="P233" s="65"/>
      <c r="Q233" s="65"/>
      <c r="R233" s="65"/>
    </row>
    <row r="234" spans="1:18" s="64" customFormat="1" ht="24.75" customHeight="1">
      <c r="A234" s="94">
        <v>212</v>
      </c>
      <c r="B234" s="95" t="s">
        <v>1078</v>
      </c>
      <c r="C234" s="117" t="s">
        <v>281</v>
      </c>
      <c r="D234" s="118" t="s">
        <v>406</v>
      </c>
      <c r="E234" s="94" t="s">
        <v>823</v>
      </c>
      <c r="F234" s="143" t="s">
        <v>1300</v>
      </c>
      <c r="G234" s="98">
        <v>8</v>
      </c>
      <c r="H234" s="99">
        <v>7</v>
      </c>
      <c r="I234" s="98">
        <v>8</v>
      </c>
      <c r="J234" s="98">
        <v>8</v>
      </c>
      <c r="K234" s="98"/>
      <c r="L234" s="100">
        <f t="shared" si="3"/>
        <v>7.9</v>
      </c>
      <c r="M234" s="101" t="s">
        <v>1327</v>
      </c>
      <c r="N234" s="92"/>
      <c r="O234" s="65"/>
      <c r="P234" s="65"/>
      <c r="Q234" s="65"/>
      <c r="R234" s="65"/>
    </row>
    <row r="235" spans="1:18" s="64" customFormat="1" ht="24.75" customHeight="1">
      <c r="A235" s="94">
        <v>213</v>
      </c>
      <c r="B235" s="95" t="s">
        <v>1079</v>
      </c>
      <c r="C235" s="117" t="s">
        <v>122</v>
      </c>
      <c r="D235" s="118" t="s">
        <v>406</v>
      </c>
      <c r="E235" s="94" t="s">
        <v>639</v>
      </c>
      <c r="F235" s="143" t="s">
        <v>1300</v>
      </c>
      <c r="G235" s="98">
        <v>8</v>
      </c>
      <c r="H235" s="99">
        <v>8</v>
      </c>
      <c r="I235" s="98">
        <v>7.5</v>
      </c>
      <c r="J235" s="98">
        <v>7</v>
      </c>
      <c r="K235" s="98"/>
      <c r="L235" s="100">
        <f t="shared" si="3"/>
        <v>7.3</v>
      </c>
      <c r="M235" s="101" t="s">
        <v>1327</v>
      </c>
      <c r="N235" s="92"/>
      <c r="O235" s="65"/>
      <c r="P235" s="65"/>
      <c r="Q235" s="65"/>
      <c r="R235" s="65"/>
    </row>
    <row r="236" spans="1:18" s="64" customFormat="1" ht="24.75" customHeight="1">
      <c r="A236" s="94">
        <v>214</v>
      </c>
      <c r="B236" s="95" t="s">
        <v>1080</v>
      </c>
      <c r="C236" s="117" t="s">
        <v>359</v>
      </c>
      <c r="D236" s="118" t="s">
        <v>119</v>
      </c>
      <c r="E236" s="94" t="s">
        <v>629</v>
      </c>
      <c r="F236" s="143" t="s">
        <v>1300</v>
      </c>
      <c r="G236" s="98">
        <v>6</v>
      </c>
      <c r="H236" s="99">
        <v>6</v>
      </c>
      <c r="I236" s="98">
        <v>6</v>
      </c>
      <c r="J236" s="98">
        <v>7</v>
      </c>
      <c r="K236" s="98"/>
      <c r="L236" s="100">
        <f t="shared" si="3"/>
        <v>6.6</v>
      </c>
      <c r="M236" s="101" t="s">
        <v>1327</v>
      </c>
      <c r="N236" s="92"/>
      <c r="O236" s="65"/>
      <c r="P236" s="65"/>
      <c r="Q236" s="65"/>
      <c r="R236" s="65"/>
    </row>
    <row r="237" spans="1:18" s="64" customFormat="1" ht="24.75" customHeight="1">
      <c r="A237" s="94">
        <v>215</v>
      </c>
      <c r="B237" s="95" t="s">
        <v>1081</v>
      </c>
      <c r="C237" s="117" t="s">
        <v>234</v>
      </c>
      <c r="D237" s="118" t="s">
        <v>119</v>
      </c>
      <c r="E237" s="94" t="s">
        <v>627</v>
      </c>
      <c r="F237" s="143" t="s">
        <v>1300</v>
      </c>
      <c r="G237" s="98">
        <v>8</v>
      </c>
      <c r="H237" s="99">
        <v>7</v>
      </c>
      <c r="I237" s="98">
        <v>8</v>
      </c>
      <c r="J237" s="98">
        <v>4</v>
      </c>
      <c r="K237" s="98"/>
      <c r="L237" s="100">
        <f t="shared" si="3"/>
        <v>5.5</v>
      </c>
      <c r="M237" s="101" t="s">
        <v>1327</v>
      </c>
      <c r="N237" s="92"/>
      <c r="O237" s="65"/>
      <c r="P237" s="65"/>
      <c r="Q237" s="65"/>
      <c r="R237" s="65"/>
    </row>
    <row r="238" spans="1:18" s="64" customFormat="1" ht="24.75" customHeight="1">
      <c r="A238" s="94">
        <v>216</v>
      </c>
      <c r="B238" s="95" t="s">
        <v>1082</v>
      </c>
      <c r="C238" s="117" t="s">
        <v>239</v>
      </c>
      <c r="D238" s="118" t="s">
        <v>240</v>
      </c>
      <c r="E238" s="94" t="s">
        <v>638</v>
      </c>
      <c r="F238" s="143" t="s">
        <v>1300</v>
      </c>
      <c r="G238" s="98">
        <v>7</v>
      </c>
      <c r="H238" s="99">
        <v>6</v>
      </c>
      <c r="I238" s="98">
        <v>7</v>
      </c>
      <c r="J238" s="98">
        <v>8</v>
      </c>
      <c r="K238" s="98"/>
      <c r="L238" s="100">
        <f t="shared" si="3"/>
        <v>7.5</v>
      </c>
      <c r="M238" s="101" t="s">
        <v>1327</v>
      </c>
      <c r="N238" s="92"/>
      <c r="O238" s="65"/>
      <c r="P238" s="65"/>
      <c r="Q238" s="65"/>
      <c r="R238" s="65"/>
    </row>
    <row r="239" spans="1:18" s="64" customFormat="1" ht="24.75" customHeight="1">
      <c r="A239" s="94">
        <v>217</v>
      </c>
      <c r="B239" s="95" t="s">
        <v>1083</v>
      </c>
      <c r="C239" s="117" t="s">
        <v>52</v>
      </c>
      <c r="D239" s="118" t="s">
        <v>104</v>
      </c>
      <c r="E239" s="94" t="s">
        <v>634</v>
      </c>
      <c r="F239" s="143" t="s">
        <v>1300</v>
      </c>
      <c r="G239" s="98">
        <v>7</v>
      </c>
      <c r="H239" s="99">
        <v>6</v>
      </c>
      <c r="I239" s="98">
        <v>7</v>
      </c>
      <c r="J239" s="98">
        <v>9</v>
      </c>
      <c r="K239" s="98"/>
      <c r="L239" s="100">
        <f t="shared" si="3"/>
        <v>8.1</v>
      </c>
      <c r="M239" s="101" t="s">
        <v>1327</v>
      </c>
      <c r="N239" s="92"/>
      <c r="O239" s="65"/>
      <c r="P239" s="65"/>
      <c r="Q239" s="65"/>
      <c r="R239" s="65"/>
    </row>
    <row r="240" spans="1:14" s="65" customFormat="1" ht="24.75" customHeight="1">
      <c r="A240" s="112">
        <v>218</v>
      </c>
      <c r="B240" s="95"/>
      <c r="C240" s="122" t="s">
        <v>1367</v>
      </c>
      <c r="D240" s="123" t="s">
        <v>1368</v>
      </c>
      <c r="E240" s="130">
        <v>29386</v>
      </c>
      <c r="F240" s="143" t="s">
        <v>1300</v>
      </c>
      <c r="G240" s="99">
        <v>7</v>
      </c>
      <c r="H240" s="99">
        <v>5</v>
      </c>
      <c r="I240" s="99">
        <v>6.5</v>
      </c>
      <c r="J240" s="99">
        <v>8</v>
      </c>
      <c r="K240" s="99"/>
      <c r="L240" s="100">
        <f t="shared" si="3"/>
        <v>7.3</v>
      </c>
      <c r="M240" s="113" t="s">
        <v>1327</v>
      </c>
      <c r="N240" s="92" t="s">
        <v>1369</v>
      </c>
    </row>
    <row r="241" spans="1:18" s="64" customFormat="1" ht="24.75" customHeight="1">
      <c r="A241" s="94">
        <v>219</v>
      </c>
      <c r="B241" s="95" t="s">
        <v>1084</v>
      </c>
      <c r="C241" s="117" t="s">
        <v>219</v>
      </c>
      <c r="D241" s="118" t="s">
        <v>418</v>
      </c>
      <c r="E241" s="94" t="s">
        <v>696</v>
      </c>
      <c r="F241" s="143" t="s">
        <v>1301</v>
      </c>
      <c r="G241" s="98">
        <v>6</v>
      </c>
      <c r="H241" s="99">
        <v>8</v>
      </c>
      <c r="I241" s="98">
        <v>5.5</v>
      </c>
      <c r="J241" s="98">
        <v>7</v>
      </c>
      <c r="K241" s="98"/>
      <c r="L241" s="100">
        <f t="shared" si="3"/>
        <v>6.7</v>
      </c>
      <c r="M241" s="101" t="s">
        <v>855</v>
      </c>
      <c r="N241" s="92"/>
      <c r="O241" s="65"/>
      <c r="P241" s="65"/>
      <c r="Q241" s="65"/>
      <c r="R241" s="65"/>
    </row>
    <row r="242" spans="1:18" s="64" customFormat="1" ht="24.75" customHeight="1">
      <c r="A242" s="94">
        <v>220</v>
      </c>
      <c r="B242" s="95" t="s">
        <v>1085</v>
      </c>
      <c r="C242" s="117" t="s">
        <v>259</v>
      </c>
      <c r="D242" s="118" t="s">
        <v>260</v>
      </c>
      <c r="E242" s="94" t="s">
        <v>674</v>
      </c>
      <c r="F242" s="143" t="s">
        <v>1301</v>
      </c>
      <c r="G242" s="98"/>
      <c r="H242" s="99"/>
      <c r="I242" s="98"/>
      <c r="J242" s="98"/>
      <c r="K242" s="98"/>
      <c r="L242" s="100">
        <f t="shared" si="3"/>
        <v>0</v>
      </c>
      <c r="M242" s="101" t="s">
        <v>855</v>
      </c>
      <c r="N242" s="92" t="s">
        <v>1340</v>
      </c>
      <c r="O242" s="65"/>
      <c r="P242" s="65"/>
      <c r="Q242" s="65"/>
      <c r="R242" s="65"/>
    </row>
    <row r="243" spans="1:18" s="64" customFormat="1" ht="24.75" customHeight="1">
      <c r="A243" s="94">
        <v>221</v>
      </c>
      <c r="B243" s="95" t="s">
        <v>1086</v>
      </c>
      <c r="C243" s="117" t="s">
        <v>266</v>
      </c>
      <c r="D243" s="118" t="s">
        <v>47</v>
      </c>
      <c r="E243" s="94" t="s">
        <v>692</v>
      </c>
      <c r="F243" s="143" t="s">
        <v>1301</v>
      </c>
      <c r="G243" s="98">
        <v>8</v>
      </c>
      <c r="H243" s="99">
        <v>9</v>
      </c>
      <c r="I243" s="98">
        <v>7.5</v>
      </c>
      <c r="J243" s="98">
        <v>7</v>
      </c>
      <c r="K243" s="98"/>
      <c r="L243" s="100">
        <f t="shared" si="3"/>
        <v>7.4</v>
      </c>
      <c r="M243" s="101" t="s">
        <v>855</v>
      </c>
      <c r="N243" s="92"/>
      <c r="O243" s="65"/>
      <c r="P243" s="65"/>
      <c r="Q243" s="65"/>
      <c r="R243" s="65"/>
    </row>
    <row r="244" spans="1:18" s="64" customFormat="1" ht="24.75" customHeight="1">
      <c r="A244" s="94">
        <v>222</v>
      </c>
      <c r="B244" s="95" t="s">
        <v>1087</v>
      </c>
      <c r="C244" s="117" t="s">
        <v>216</v>
      </c>
      <c r="D244" s="118" t="s">
        <v>241</v>
      </c>
      <c r="E244" s="94" t="s">
        <v>670</v>
      </c>
      <c r="F244" s="143" t="s">
        <v>1301</v>
      </c>
      <c r="G244" s="98">
        <v>6</v>
      </c>
      <c r="H244" s="99">
        <v>8</v>
      </c>
      <c r="I244" s="98">
        <v>4</v>
      </c>
      <c r="J244" s="98">
        <v>4</v>
      </c>
      <c r="K244" s="98"/>
      <c r="L244" s="100">
        <f t="shared" si="3"/>
        <v>4.6</v>
      </c>
      <c r="M244" s="101" t="s">
        <v>855</v>
      </c>
      <c r="N244" s="92"/>
      <c r="O244" s="65"/>
      <c r="P244" s="65"/>
      <c r="Q244" s="65"/>
      <c r="R244" s="65"/>
    </row>
    <row r="245" spans="1:18" s="64" customFormat="1" ht="24.75" customHeight="1">
      <c r="A245" s="94">
        <v>223</v>
      </c>
      <c r="B245" s="95" t="s">
        <v>1088</v>
      </c>
      <c r="C245" s="117" t="s">
        <v>350</v>
      </c>
      <c r="D245" s="118" t="s">
        <v>282</v>
      </c>
      <c r="E245" s="94" t="s">
        <v>842</v>
      </c>
      <c r="F245" s="143" t="s">
        <v>1301</v>
      </c>
      <c r="G245" s="98">
        <v>6</v>
      </c>
      <c r="H245" s="99">
        <v>8</v>
      </c>
      <c r="I245" s="98">
        <v>4</v>
      </c>
      <c r="J245" s="98">
        <v>8</v>
      </c>
      <c r="K245" s="98"/>
      <c r="L245" s="100">
        <f t="shared" si="3"/>
        <v>7</v>
      </c>
      <c r="M245" s="101" t="s">
        <v>855</v>
      </c>
      <c r="N245" s="92"/>
      <c r="O245" s="65"/>
      <c r="P245" s="65"/>
      <c r="Q245" s="65"/>
      <c r="R245" s="65"/>
    </row>
    <row r="246" spans="1:18" s="64" customFormat="1" ht="24.75" customHeight="1">
      <c r="A246" s="94">
        <v>224</v>
      </c>
      <c r="B246" s="95" t="s">
        <v>1089</v>
      </c>
      <c r="C246" s="117" t="s">
        <v>130</v>
      </c>
      <c r="D246" s="118" t="s">
        <v>53</v>
      </c>
      <c r="E246" s="94" t="s">
        <v>668</v>
      </c>
      <c r="F246" s="143" t="s">
        <v>1301</v>
      </c>
      <c r="G246" s="98">
        <v>7</v>
      </c>
      <c r="H246" s="99">
        <v>9</v>
      </c>
      <c r="I246" s="98">
        <v>7</v>
      </c>
      <c r="J246" s="98">
        <v>8</v>
      </c>
      <c r="K246" s="98"/>
      <c r="L246" s="100">
        <f t="shared" si="3"/>
        <v>7.8</v>
      </c>
      <c r="M246" s="101" t="s">
        <v>855</v>
      </c>
      <c r="N246" s="92"/>
      <c r="O246" s="65"/>
      <c r="P246" s="65"/>
      <c r="Q246" s="65"/>
      <c r="R246" s="65"/>
    </row>
    <row r="247" spans="1:18" s="64" customFormat="1" ht="24.75" customHeight="1">
      <c r="A247" s="94">
        <v>225</v>
      </c>
      <c r="B247" s="95" t="s">
        <v>1090</v>
      </c>
      <c r="C247" s="117" t="s">
        <v>340</v>
      </c>
      <c r="D247" s="118" t="s">
        <v>84</v>
      </c>
      <c r="E247" s="94" t="s">
        <v>821</v>
      </c>
      <c r="F247" s="143" t="s">
        <v>1301</v>
      </c>
      <c r="G247" s="98"/>
      <c r="H247" s="99"/>
      <c r="I247" s="98"/>
      <c r="J247" s="98"/>
      <c r="K247" s="98"/>
      <c r="L247" s="100">
        <f t="shared" si="3"/>
        <v>0</v>
      </c>
      <c r="M247" s="101" t="s">
        <v>855</v>
      </c>
      <c r="N247" s="92" t="s">
        <v>1355</v>
      </c>
      <c r="O247" s="65"/>
      <c r="P247" s="65"/>
      <c r="Q247" s="65"/>
      <c r="R247" s="65"/>
    </row>
    <row r="248" spans="1:18" s="68" customFormat="1" ht="24.75" customHeight="1">
      <c r="A248" s="94">
        <v>226</v>
      </c>
      <c r="B248" s="95" t="s">
        <v>1091</v>
      </c>
      <c r="C248" s="117" t="s">
        <v>208</v>
      </c>
      <c r="D248" s="118" t="s">
        <v>54</v>
      </c>
      <c r="E248" s="94" t="s">
        <v>694</v>
      </c>
      <c r="F248" s="143" t="s">
        <v>1301</v>
      </c>
      <c r="G248" s="98">
        <v>8</v>
      </c>
      <c r="H248" s="99">
        <v>8</v>
      </c>
      <c r="I248" s="98">
        <v>7.5</v>
      </c>
      <c r="J248" s="98">
        <v>7</v>
      </c>
      <c r="K248" s="98"/>
      <c r="L248" s="100">
        <f t="shared" si="3"/>
        <v>7.3</v>
      </c>
      <c r="M248" s="101" t="s">
        <v>855</v>
      </c>
      <c r="N248" s="92"/>
      <c r="O248" s="65"/>
      <c r="P248" s="65"/>
      <c r="Q248" s="65"/>
      <c r="R248" s="65"/>
    </row>
    <row r="249" spans="1:18" s="68" customFormat="1" ht="24.75" customHeight="1">
      <c r="A249" s="94">
        <v>227</v>
      </c>
      <c r="B249" s="95" t="s">
        <v>1092</v>
      </c>
      <c r="C249" s="117" t="s">
        <v>267</v>
      </c>
      <c r="D249" s="118" t="s">
        <v>419</v>
      </c>
      <c r="E249" s="94" t="s">
        <v>697</v>
      </c>
      <c r="F249" s="143" t="s">
        <v>1301</v>
      </c>
      <c r="G249" s="98">
        <v>6</v>
      </c>
      <c r="H249" s="99">
        <v>8</v>
      </c>
      <c r="I249" s="98">
        <v>6</v>
      </c>
      <c r="J249" s="98">
        <v>6</v>
      </c>
      <c r="K249" s="98"/>
      <c r="L249" s="100">
        <f t="shared" si="3"/>
        <v>6.2</v>
      </c>
      <c r="M249" s="101" t="s">
        <v>855</v>
      </c>
      <c r="N249" s="92"/>
      <c r="O249" s="65"/>
      <c r="P249" s="65"/>
      <c r="Q249" s="65"/>
      <c r="R249" s="65"/>
    </row>
    <row r="250" spans="1:18" s="64" customFormat="1" ht="24.75" customHeight="1">
      <c r="A250" s="94">
        <v>228</v>
      </c>
      <c r="B250" s="95" t="s">
        <v>1093</v>
      </c>
      <c r="C250" s="117" t="s">
        <v>206</v>
      </c>
      <c r="D250" s="118" t="s">
        <v>57</v>
      </c>
      <c r="E250" s="94" t="s">
        <v>689</v>
      </c>
      <c r="F250" s="143" t="s">
        <v>1301</v>
      </c>
      <c r="G250" s="98">
        <v>6</v>
      </c>
      <c r="H250" s="99">
        <v>8</v>
      </c>
      <c r="I250" s="98">
        <v>6</v>
      </c>
      <c r="J250" s="98">
        <v>8</v>
      </c>
      <c r="K250" s="98"/>
      <c r="L250" s="100">
        <f t="shared" si="3"/>
        <v>7.4</v>
      </c>
      <c r="M250" s="101" t="s">
        <v>855</v>
      </c>
      <c r="N250" s="92"/>
      <c r="O250" s="65"/>
      <c r="P250" s="65"/>
      <c r="Q250" s="65"/>
      <c r="R250" s="65"/>
    </row>
    <row r="251" spans="1:18" s="64" customFormat="1" ht="24.75" customHeight="1">
      <c r="A251" s="94">
        <v>229</v>
      </c>
      <c r="B251" s="95" t="s">
        <v>1094</v>
      </c>
      <c r="C251" s="117" t="s">
        <v>412</v>
      </c>
      <c r="D251" s="118" t="s">
        <v>58</v>
      </c>
      <c r="E251" s="94" t="s">
        <v>669</v>
      </c>
      <c r="F251" s="143" t="s">
        <v>1301</v>
      </c>
      <c r="G251" s="98">
        <v>7</v>
      </c>
      <c r="H251" s="99">
        <v>8</v>
      </c>
      <c r="I251" s="98">
        <v>8</v>
      </c>
      <c r="J251" s="98">
        <v>6</v>
      </c>
      <c r="K251" s="98"/>
      <c r="L251" s="100">
        <f t="shared" si="3"/>
        <v>6.7</v>
      </c>
      <c r="M251" s="101" t="s">
        <v>855</v>
      </c>
      <c r="N251" s="92"/>
      <c r="O251" s="65"/>
      <c r="P251" s="65"/>
      <c r="Q251" s="65"/>
      <c r="R251" s="65"/>
    </row>
    <row r="252" spans="1:18" s="64" customFormat="1" ht="24.75" customHeight="1">
      <c r="A252" s="94">
        <v>230</v>
      </c>
      <c r="B252" s="95" t="s">
        <v>1095</v>
      </c>
      <c r="C252" s="117" t="s">
        <v>268</v>
      </c>
      <c r="D252" s="118" t="s">
        <v>89</v>
      </c>
      <c r="E252" s="94" t="s">
        <v>698</v>
      </c>
      <c r="F252" s="143" t="s">
        <v>1301</v>
      </c>
      <c r="G252" s="98">
        <v>6</v>
      </c>
      <c r="H252" s="99">
        <v>8</v>
      </c>
      <c r="I252" s="98">
        <v>3.5</v>
      </c>
      <c r="J252" s="98">
        <v>7</v>
      </c>
      <c r="K252" s="98"/>
      <c r="L252" s="100">
        <f t="shared" si="3"/>
        <v>6.3</v>
      </c>
      <c r="M252" s="101" t="s">
        <v>855</v>
      </c>
      <c r="N252" s="92"/>
      <c r="O252" s="65"/>
      <c r="P252" s="65"/>
      <c r="Q252" s="65"/>
      <c r="R252" s="65"/>
    </row>
    <row r="253" spans="1:18" s="64" customFormat="1" ht="24.75" customHeight="1">
      <c r="A253" s="94">
        <v>231</v>
      </c>
      <c r="B253" s="95" t="s">
        <v>1096</v>
      </c>
      <c r="C253" s="117" t="s">
        <v>450</v>
      </c>
      <c r="D253" s="118" t="s">
        <v>89</v>
      </c>
      <c r="E253" s="94" t="s">
        <v>818</v>
      </c>
      <c r="F253" s="143" t="s">
        <v>1301</v>
      </c>
      <c r="G253" s="98">
        <v>8</v>
      </c>
      <c r="H253" s="99">
        <v>9</v>
      </c>
      <c r="I253" s="98">
        <v>8</v>
      </c>
      <c r="J253" s="98">
        <v>7</v>
      </c>
      <c r="K253" s="98"/>
      <c r="L253" s="100">
        <f t="shared" si="3"/>
        <v>7.5</v>
      </c>
      <c r="M253" s="101" t="s">
        <v>855</v>
      </c>
      <c r="N253" s="92"/>
      <c r="O253" s="65"/>
      <c r="P253" s="65"/>
      <c r="Q253" s="65"/>
      <c r="R253" s="65"/>
    </row>
    <row r="254" spans="1:18" s="64" customFormat="1" ht="24.75" customHeight="1">
      <c r="A254" s="94">
        <v>232</v>
      </c>
      <c r="B254" s="95" t="s">
        <v>1097</v>
      </c>
      <c r="C254" s="117" t="s">
        <v>155</v>
      </c>
      <c r="D254" s="118" t="s">
        <v>89</v>
      </c>
      <c r="E254" s="94" t="s">
        <v>675</v>
      </c>
      <c r="F254" s="143" t="s">
        <v>1301</v>
      </c>
      <c r="G254" s="98"/>
      <c r="H254" s="99"/>
      <c r="I254" s="98"/>
      <c r="J254" s="98"/>
      <c r="K254" s="98"/>
      <c r="L254" s="100">
        <f t="shared" si="3"/>
        <v>0</v>
      </c>
      <c r="M254" s="101" t="s">
        <v>855</v>
      </c>
      <c r="N254" s="92" t="s">
        <v>1346</v>
      </c>
      <c r="O254" s="65"/>
      <c r="P254" s="65"/>
      <c r="Q254" s="65"/>
      <c r="R254" s="65"/>
    </row>
    <row r="255" spans="1:18" s="64" customFormat="1" ht="24.75" customHeight="1">
      <c r="A255" s="94">
        <v>233</v>
      </c>
      <c r="B255" s="95" t="s">
        <v>1098</v>
      </c>
      <c r="C255" s="117" t="s">
        <v>83</v>
      </c>
      <c r="D255" s="118" t="s">
        <v>91</v>
      </c>
      <c r="E255" s="94" t="s">
        <v>680</v>
      </c>
      <c r="F255" s="143" t="s">
        <v>1301</v>
      </c>
      <c r="G255" s="98">
        <v>6</v>
      </c>
      <c r="H255" s="99">
        <v>9</v>
      </c>
      <c r="I255" s="98">
        <v>3.5</v>
      </c>
      <c r="J255" s="98">
        <v>7</v>
      </c>
      <c r="K255" s="98"/>
      <c r="L255" s="100">
        <f t="shared" si="3"/>
        <v>6.4</v>
      </c>
      <c r="M255" s="101" t="s">
        <v>855</v>
      </c>
      <c r="N255" s="92"/>
      <c r="O255" s="65"/>
      <c r="P255" s="65"/>
      <c r="Q255" s="65"/>
      <c r="R255" s="65"/>
    </row>
    <row r="256" spans="1:18" s="64" customFormat="1" ht="24.75" customHeight="1">
      <c r="A256" s="94">
        <v>234</v>
      </c>
      <c r="B256" s="95" t="s">
        <v>1099</v>
      </c>
      <c r="C256" s="117" t="s">
        <v>261</v>
      </c>
      <c r="D256" s="118" t="s">
        <v>92</v>
      </c>
      <c r="E256" s="94" t="s">
        <v>677</v>
      </c>
      <c r="F256" s="143" t="s">
        <v>1301</v>
      </c>
      <c r="G256" s="98">
        <v>6</v>
      </c>
      <c r="H256" s="99">
        <v>8</v>
      </c>
      <c r="I256" s="98">
        <v>6</v>
      </c>
      <c r="J256" s="98">
        <v>7</v>
      </c>
      <c r="K256" s="98"/>
      <c r="L256" s="100">
        <f t="shared" si="3"/>
        <v>6.8</v>
      </c>
      <c r="M256" s="101" t="s">
        <v>855</v>
      </c>
      <c r="N256" s="92"/>
      <c r="O256" s="65"/>
      <c r="P256" s="65"/>
      <c r="Q256" s="65"/>
      <c r="R256" s="65"/>
    </row>
    <row r="257" spans="1:18" s="64" customFormat="1" ht="24.75" customHeight="1">
      <c r="A257" s="94">
        <v>235</v>
      </c>
      <c r="B257" s="95" t="s">
        <v>1100</v>
      </c>
      <c r="C257" s="117" t="s">
        <v>262</v>
      </c>
      <c r="D257" s="118" t="s">
        <v>116</v>
      </c>
      <c r="E257" s="94" t="s">
        <v>678</v>
      </c>
      <c r="F257" s="143" t="s">
        <v>1301</v>
      </c>
      <c r="G257" s="98">
        <v>6</v>
      </c>
      <c r="H257" s="99">
        <v>8</v>
      </c>
      <c r="I257" s="98">
        <v>3</v>
      </c>
      <c r="J257" s="98">
        <v>6</v>
      </c>
      <c r="K257" s="98"/>
      <c r="L257" s="100">
        <f t="shared" si="3"/>
        <v>5.6</v>
      </c>
      <c r="M257" s="101" t="s">
        <v>855</v>
      </c>
      <c r="N257" s="92"/>
      <c r="O257" s="65"/>
      <c r="P257" s="65"/>
      <c r="Q257" s="65"/>
      <c r="R257" s="65"/>
    </row>
    <row r="258" spans="1:18" s="64" customFormat="1" ht="24.75" customHeight="1">
      <c r="A258" s="94">
        <v>236</v>
      </c>
      <c r="B258" s="95" t="s">
        <v>1101</v>
      </c>
      <c r="C258" s="117" t="s">
        <v>262</v>
      </c>
      <c r="D258" s="118" t="s">
        <v>116</v>
      </c>
      <c r="E258" s="94" t="s">
        <v>817</v>
      </c>
      <c r="F258" s="143" t="s">
        <v>1301</v>
      </c>
      <c r="G258" s="98">
        <v>7</v>
      </c>
      <c r="H258" s="99">
        <v>9</v>
      </c>
      <c r="I258" s="98">
        <v>7</v>
      </c>
      <c r="J258" s="98">
        <v>9</v>
      </c>
      <c r="K258" s="98"/>
      <c r="L258" s="100">
        <f t="shared" si="3"/>
        <v>8.4</v>
      </c>
      <c r="M258" s="101" t="s">
        <v>855</v>
      </c>
      <c r="N258" s="92"/>
      <c r="O258" s="65"/>
      <c r="P258" s="65"/>
      <c r="Q258" s="65"/>
      <c r="R258" s="65"/>
    </row>
    <row r="259" spans="1:18" s="64" customFormat="1" ht="24.75" customHeight="1">
      <c r="A259" s="94">
        <v>237</v>
      </c>
      <c r="B259" s="95" t="s">
        <v>1102</v>
      </c>
      <c r="C259" s="117" t="s">
        <v>414</v>
      </c>
      <c r="D259" s="118" t="s">
        <v>116</v>
      </c>
      <c r="E259" s="94" t="s">
        <v>681</v>
      </c>
      <c r="F259" s="143" t="s">
        <v>1301</v>
      </c>
      <c r="G259" s="98">
        <v>6</v>
      </c>
      <c r="H259" s="99">
        <v>8</v>
      </c>
      <c r="I259" s="98">
        <v>3.5</v>
      </c>
      <c r="J259" s="98">
        <v>4</v>
      </c>
      <c r="K259" s="98"/>
      <c r="L259" s="100">
        <f t="shared" si="3"/>
        <v>4.5</v>
      </c>
      <c r="M259" s="101" t="s">
        <v>855</v>
      </c>
      <c r="N259" s="92"/>
      <c r="O259" s="65"/>
      <c r="P259" s="65"/>
      <c r="Q259" s="65"/>
      <c r="R259" s="65"/>
    </row>
    <row r="260" spans="1:18" s="64" customFormat="1" ht="24.75" customHeight="1">
      <c r="A260" s="94">
        <v>238</v>
      </c>
      <c r="B260" s="95" t="s">
        <v>1103</v>
      </c>
      <c r="C260" s="117" t="s">
        <v>413</v>
      </c>
      <c r="D260" s="118" t="s">
        <v>132</v>
      </c>
      <c r="E260" s="94" t="s">
        <v>676</v>
      </c>
      <c r="F260" s="143" t="s">
        <v>1301</v>
      </c>
      <c r="G260" s="98">
        <v>7</v>
      </c>
      <c r="H260" s="99">
        <v>7</v>
      </c>
      <c r="I260" s="98">
        <v>6.5</v>
      </c>
      <c r="J260" s="98">
        <v>7</v>
      </c>
      <c r="K260" s="98"/>
      <c r="L260" s="100">
        <f t="shared" si="3"/>
        <v>6.9</v>
      </c>
      <c r="M260" s="101" t="s">
        <v>855</v>
      </c>
      <c r="N260" s="92"/>
      <c r="O260" s="65"/>
      <c r="P260" s="65"/>
      <c r="Q260" s="65"/>
      <c r="R260" s="65"/>
    </row>
    <row r="261" spans="1:18" s="64" customFormat="1" ht="24.75" customHeight="1">
      <c r="A261" s="94">
        <v>239</v>
      </c>
      <c r="B261" s="95" t="s">
        <v>1104</v>
      </c>
      <c r="C261" s="117" t="s">
        <v>42</v>
      </c>
      <c r="D261" s="118" t="s">
        <v>62</v>
      </c>
      <c r="E261" s="94" t="s">
        <v>682</v>
      </c>
      <c r="F261" s="143" t="s">
        <v>1301</v>
      </c>
      <c r="G261" s="98">
        <v>7</v>
      </c>
      <c r="H261" s="99">
        <v>8</v>
      </c>
      <c r="I261" s="98">
        <v>7</v>
      </c>
      <c r="J261" s="98">
        <v>8</v>
      </c>
      <c r="K261" s="98"/>
      <c r="L261" s="100">
        <f t="shared" si="3"/>
        <v>7.7</v>
      </c>
      <c r="M261" s="101" t="s">
        <v>855</v>
      </c>
      <c r="N261" s="92"/>
      <c r="O261" s="65"/>
      <c r="P261" s="65"/>
      <c r="Q261" s="65"/>
      <c r="R261" s="65"/>
    </row>
    <row r="262" spans="1:18" s="64" customFormat="1" ht="24.75" customHeight="1">
      <c r="A262" s="94">
        <v>240</v>
      </c>
      <c r="B262" s="95" t="s">
        <v>1105</v>
      </c>
      <c r="C262" s="117" t="s">
        <v>254</v>
      </c>
      <c r="D262" s="118" t="s">
        <v>110</v>
      </c>
      <c r="E262" s="94" t="s">
        <v>683</v>
      </c>
      <c r="F262" s="143" t="s">
        <v>1301</v>
      </c>
      <c r="G262" s="98">
        <v>6</v>
      </c>
      <c r="H262" s="99">
        <v>8</v>
      </c>
      <c r="I262" s="98">
        <v>6</v>
      </c>
      <c r="J262" s="98">
        <v>8</v>
      </c>
      <c r="K262" s="98"/>
      <c r="L262" s="100">
        <f t="shared" si="3"/>
        <v>7.4</v>
      </c>
      <c r="M262" s="101" t="s">
        <v>855</v>
      </c>
      <c r="N262" s="92"/>
      <c r="O262" s="65"/>
      <c r="P262" s="65"/>
      <c r="Q262" s="65"/>
      <c r="R262" s="65"/>
    </row>
    <row r="263" spans="1:18" s="64" customFormat="1" ht="24.75" customHeight="1">
      <c r="A263" s="94">
        <v>241</v>
      </c>
      <c r="B263" s="95" t="s">
        <v>1106</v>
      </c>
      <c r="C263" s="117" t="s">
        <v>269</v>
      </c>
      <c r="D263" s="118" t="s">
        <v>110</v>
      </c>
      <c r="E263" s="94" t="s">
        <v>699</v>
      </c>
      <c r="F263" s="143" t="s">
        <v>1301</v>
      </c>
      <c r="G263" s="98">
        <v>6</v>
      </c>
      <c r="H263" s="99">
        <v>7</v>
      </c>
      <c r="I263" s="98">
        <v>6</v>
      </c>
      <c r="J263" s="98">
        <v>8</v>
      </c>
      <c r="K263" s="98"/>
      <c r="L263" s="100">
        <f t="shared" si="3"/>
        <v>7.3</v>
      </c>
      <c r="M263" s="101" t="s">
        <v>855</v>
      </c>
      <c r="N263" s="92"/>
      <c r="O263" s="65"/>
      <c r="P263" s="65"/>
      <c r="Q263" s="65"/>
      <c r="R263" s="65"/>
    </row>
    <row r="264" spans="1:18" s="64" customFormat="1" ht="24.75" customHeight="1">
      <c r="A264" s="94">
        <v>242</v>
      </c>
      <c r="B264" s="95" t="s">
        <v>1107</v>
      </c>
      <c r="C264" s="117" t="s">
        <v>344</v>
      </c>
      <c r="D264" s="118" t="s">
        <v>65</v>
      </c>
      <c r="E264" s="94" t="s">
        <v>843</v>
      </c>
      <c r="F264" s="143" t="s">
        <v>1301</v>
      </c>
      <c r="G264" s="98">
        <v>6</v>
      </c>
      <c r="H264" s="99">
        <v>7</v>
      </c>
      <c r="I264" s="98">
        <v>3</v>
      </c>
      <c r="J264" s="98">
        <v>8</v>
      </c>
      <c r="K264" s="98"/>
      <c r="L264" s="100">
        <f t="shared" si="3"/>
        <v>6.7</v>
      </c>
      <c r="M264" s="101" t="s">
        <v>855</v>
      </c>
      <c r="N264" s="92"/>
      <c r="O264" s="65"/>
      <c r="P264" s="65"/>
      <c r="Q264" s="65"/>
      <c r="R264" s="65"/>
    </row>
    <row r="265" spans="1:18" s="64" customFormat="1" ht="24.75" customHeight="1">
      <c r="A265" s="94">
        <v>243</v>
      </c>
      <c r="B265" s="95" t="s">
        <v>1108</v>
      </c>
      <c r="C265" s="117" t="s">
        <v>264</v>
      </c>
      <c r="D265" s="118" t="s">
        <v>65</v>
      </c>
      <c r="E265" s="94" t="s">
        <v>466</v>
      </c>
      <c r="F265" s="143" t="s">
        <v>1301</v>
      </c>
      <c r="G265" s="98">
        <v>6</v>
      </c>
      <c r="H265" s="99">
        <v>7</v>
      </c>
      <c r="I265" s="98">
        <v>4</v>
      </c>
      <c r="J265" s="98">
        <v>7</v>
      </c>
      <c r="K265" s="98"/>
      <c r="L265" s="100">
        <f t="shared" si="3"/>
        <v>6.3</v>
      </c>
      <c r="M265" s="101" t="s">
        <v>855</v>
      </c>
      <c r="N265" s="92"/>
      <c r="O265" s="65"/>
      <c r="P265" s="65"/>
      <c r="Q265" s="65"/>
      <c r="R265" s="65"/>
    </row>
    <row r="266" spans="1:18" s="64" customFormat="1" ht="24.75" customHeight="1">
      <c r="A266" s="94">
        <v>244</v>
      </c>
      <c r="B266" s="95" t="s">
        <v>1109</v>
      </c>
      <c r="C266" s="117" t="s">
        <v>208</v>
      </c>
      <c r="D266" s="118" t="s">
        <v>65</v>
      </c>
      <c r="E266" s="94" t="s">
        <v>690</v>
      </c>
      <c r="F266" s="143" t="s">
        <v>1301</v>
      </c>
      <c r="G266" s="98">
        <v>6</v>
      </c>
      <c r="H266" s="99">
        <v>7</v>
      </c>
      <c r="I266" s="98">
        <v>5</v>
      </c>
      <c r="J266" s="98">
        <v>6</v>
      </c>
      <c r="K266" s="98"/>
      <c r="L266" s="100">
        <f t="shared" si="3"/>
        <v>5.9</v>
      </c>
      <c r="M266" s="101" t="s">
        <v>855</v>
      </c>
      <c r="N266" s="92"/>
      <c r="O266" s="65"/>
      <c r="P266" s="65"/>
      <c r="Q266" s="65"/>
      <c r="R266" s="65"/>
    </row>
    <row r="267" spans="1:18" s="64" customFormat="1" ht="24.75" customHeight="1">
      <c r="A267" s="94">
        <v>245</v>
      </c>
      <c r="B267" s="95" t="s">
        <v>1110</v>
      </c>
      <c r="C267" s="117" t="s">
        <v>130</v>
      </c>
      <c r="D267" s="118" t="s">
        <v>146</v>
      </c>
      <c r="E267" s="94" t="s">
        <v>693</v>
      </c>
      <c r="F267" s="143" t="s">
        <v>1301</v>
      </c>
      <c r="G267" s="98"/>
      <c r="H267" s="99"/>
      <c r="I267" s="98"/>
      <c r="J267" s="98"/>
      <c r="K267" s="98"/>
      <c r="L267" s="100">
        <f t="shared" si="3"/>
        <v>0</v>
      </c>
      <c r="M267" s="101" t="s">
        <v>855</v>
      </c>
      <c r="N267" s="92" t="s">
        <v>1346</v>
      </c>
      <c r="O267" s="65"/>
      <c r="P267" s="65"/>
      <c r="Q267" s="65"/>
      <c r="R267" s="65"/>
    </row>
    <row r="268" spans="1:18" s="64" customFormat="1" ht="24.75" customHeight="1">
      <c r="A268" s="94">
        <v>246</v>
      </c>
      <c r="B268" s="95" t="s">
        <v>1111</v>
      </c>
      <c r="C268" s="117" t="s">
        <v>52</v>
      </c>
      <c r="D268" s="118" t="s">
        <v>115</v>
      </c>
      <c r="E268" s="94" t="s">
        <v>794</v>
      </c>
      <c r="F268" s="143" t="s">
        <v>1301</v>
      </c>
      <c r="G268" s="98">
        <v>7</v>
      </c>
      <c r="H268" s="99">
        <v>8</v>
      </c>
      <c r="I268" s="98">
        <v>7</v>
      </c>
      <c r="J268" s="98">
        <v>7</v>
      </c>
      <c r="K268" s="98"/>
      <c r="L268" s="100">
        <f t="shared" si="3"/>
        <v>7.1</v>
      </c>
      <c r="M268" s="101" t="s">
        <v>855</v>
      </c>
      <c r="N268" s="92"/>
      <c r="O268" s="65"/>
      <c r="P268" s="65"/>
      <c r="Q268" s="65"/>
      <c r="R268" s="65"/>
    </row>
    <row r="269" spans="1:18" s="64" customFormat="1" ht="24.75" customHeight="1">
      <c r="A269" s="94">
        <v>247</v>
      </c>
      <c r="B269" s="95" t="s">
        <v>1112</v>
      </c>
      <c r="C269" s="117" t="s">
        <v>353</v>
      </c>
      <c r="D269" s="118" t="s">
        <v>354</v>
      </c>
      <c r="E269" s="94" t="s">
        <v>608</v>
      </c>
      <c r="F269" s="143" t="s">
        <v>1301</v>
      </c>
      <c r="G269" s="98">
        <v>6</v>
      </c>
      <c r="H269" s="99">
        <v>5</v>
      </c>
      <c r="I269" s="98">
        <v>4</v>
      </c>
      <c r="J269" s="98">
        <v>7</v>
      </c>
      <c r="K269" s="98"/>
      <c r="L269" s="100">
        <f t="shared" si="3"/>
        <v>6.1</v>
      </c>
      <c r="M269" s="101" t="s">
        <v>855</v>
      </c>
      <c r="N269" s="92"/>
      <c r="O269" s="65"/>
      <c r="P269" s="65"/>
      <c r="Q269" s="65"/>
      <c r="R269" s="65"/>
    </row>
    <row r="270" spans="1:18" s="64" customFormat="1" ht="24.75" customHeight="1">
      <c r="A270" s="94">
        <v>248</v>
      </c>
      <c r="B270" s="95" t="s">
        <v>1113</v>
      </c>
      <c r="C270" s="117" t="s">
        <v>42</v>
      </c>
      <c r="D270" s="118" t="s">
        <v>406</v>
      </c>
      <c r="E270" s="94" t="s">
        <v>691</v>
      </c>
      <c r="F270" s="143" t="s">
        <v>1301</v>
      </c>
      <c r="G270" s="98">
        <v>6</v>
      </c>
      <c r="H270" s="99">
        <v>8</v>
      </c>
      <c r="I270" s="98">
        <v>6</v>
      </c>
      <c r="J270" s="98">
        <v>8</v>
      </c>
      <c r="K270" s="98"/>
      <c r="L270" s="100">
        <f t="shared" si="3"/>
        <v>7.4</v>
      </c>
      <c r="M270" s="101" t="s">
        <v>855</v>
      </c>
      <c r="N270" s="92"/>
      <c r="O270" s="65"/>
      <c r="P270" s="65"/>
      <c r="Q270" s="65"/>
      <c r="R270" s="65"/>
    </row>
    <row r="271" spans="1:18" s="64" customFormat="1" ht="24.75" customHeight="1">
      <c r="A271" s="94">
        <v>249</v>
      </c>
      <c r="B271" s="95" t="s">
        <v>1114</v>
      </c>
      <c r="C271" s="117" t="s">
        <v>214</v>
      </c>
      <c r="D271" s="118" t="s">
        <v>406</v>
      </c>
      <c r="E271" s="94" t="s">
        <v>684</v>
      </c>
      <c r="F271" s="143" t="s">
        <v>1301</v>
      </c>
      <c r="G271" s="98">
        <v>8</v>
      </c>
      <c r="H271" s="99">
        <v>7</v>
      </c>
      <c r="I271" s="98">
        <v>8</v>
      </c>
      <c r="J271" s="98">
        <v>7</v>
      </c>
      <c r="K271" s="98"/>
      <c r="L271" s="100">
        <f t="shared" si="3"/>
        <v>7.3</v>
      </c>
      <c r="M271" s="101" t="s">
        <v>855</v>
      </c>
      <c r="N271" s="92"/>
      <c r="O271" s="65"/>
      <c r="P271" s="65"/>
      <c r="Q271" s="65"/>
      <c r="R271" s="65"/>
    </row>
    <row r="272" spans="1:18" s="64" customFormat="1" ht="24.75" customHeight="1">
      <c r="A272" s="94">
        <v>250</v>
      </c>
      <c r="B272" s="124" t="s">
        <v>1115</v>
      </c>
      <c r="C272" s="125" t="s">
        <v>41</v>
      </c>
      <c r="D272" s="126" t="s">
        <v>218</v>
      </c>
      <c r="E272" s="127" t="s">
        <v>672</v>
      </c>
      <c r="F272" s="145" t="s">
        <v>1301</v>
      </c>
      <c r="G272" s="128">
        <v>7</v>
      </c>
      <c r="H272" s="99">
        <v>8</v>
      </c>
      <c r="I272" s="128">
        <v>7</v>
      </c>
      <c r="J272" s="128">
        <v>4</v>
      </c>
      <c r="K272" s="128"/>
      <c r="L272" s="129">
        <f t="shared" si="3"/>
        <v>5.3</v>
      </c>
      <c r="M272" s="146" t="s">
        <v>855</v>
      </c>
      <c r="N272" s="92"/>
      <c r="O272" s="65"/>
      <c r="P272" s="65"/>
      <c r="Q272" s="65"/>
      <c r="R272" s="65"/>
    </row>
    <row r="273" spans="1:18" s="64" customFormat="1" ht="24.75" customHeight="1">
      <c r="A273" s="94">
        <v>251</v>
      </c>
      <c r="B273" s="95" t="s">
        <v>1116</v>
      </c>
      <c r="C273" s="117" t="s">
        <v>41</v>
      </c>
      <c r="D273" s="118" t="s">
        <v>339</v>
      </c>
      <c r="E273" s="94" t="s">
        <v>820</v>
      </c>
      <c r="F273" s="143" t="s">
        <v>1301</v>
      </c>
      <c r="G273" s="98">
        <v>6</v>
      </c>
      <c r="H273" s="99">
        <v>7</v>
      </c>
      <c r="I273" s="98">
        <v>6</v>
      </c>
      <c r="J273" s="98">
        <v>3</v>
      </c>
      <c r="K273" s="98"/>
      <c r="L273" s="100">
        <f t="shared" si="3"/>
        <v>4.3</v>
      </c>
      <c r="M273" s="101" t="s">
        <v>855</v>
      </c>
      <c r="N273" s="92"/>
      <c r="O273" s="65"/>
      <c r="P273" s="65"/>
      <c r="Q273" s="65"/>
      <c r="R273" s="65"/>
    </row>
    <row r="274" spans="1:18" s="64" customFormat="1" ht="24.75" customHeight="1">
      <c r="A274" s="94">
        <v>252</v>
      </c>
      <c r="B274" s="95" t="s">
        <v>1117</v>
      </c>
      <c r="C274" s="117" t="s">
        <v>415</v>
      </c>
      <c r="D274" s="118" t="s">
        <v>67</v>
      </c>
      <c r="E274" s="94" t="s">
        <v>685</v>
      </c>
      <c r="F274" s="143" t="s">
        <v>1301</v>
      </c>
      <c r="G274" s="98">
        <v>9</v>
      </c>
      <c r="H274" s="99">
        <v>7</v>
      </c>
      <c r="I274" s="98">
        <v>9</v>
      </c>
      <c r="J274" s="98">
        <v>7</v>
      </c>
      <c r="K274" s="98"/>
      <c r="L274" s="100">
        <f t="shared" si="3"/>
        <v>7.6</v>
      </c>
      <c r="M274" s="101" t="s">
        <v>855</v>
      </c>
      <c r="N274" s="92"/>
      <c r="O274" s="65"/>
      <c r="P274" s="65"/>
      <c r="Q274" s="65"/>
      <c r="R274" s="65"/>
    </row>
    <row r="275" spans="1:18" s="64" customFormat="1" ht="24.75" customHeight="1">
      <c r="A275" s="94">
        <v>253</v>
      </c>
      <c r="B275" s="95" t="s">
        <v>1118</v>
      </c>
      <c r="C275" s="117" t="s">
        <v>263</v>
      </c>
      <c r="D275" s="118" t="s">
        <v>67</v>
      </c>
      <c r="E275" s="94" t="s">
        <v>679</v>
      </c>
      <c r="F275" s="143" t="s">
        <v>1301</v>
      </c>
      <c r="G275" s="98">
        <v>7</v>
      </c>
      <c r="H275" s="99">
        <v>7</v>
      </c>
      <c r="I275" s="98">
        <v>7</v>
      </c>
      <c r="J275" s="98">
        <v>6</v>
      </c>
      <c r="K275" s="98"/>
      <c r="L275" s="100">
        <f t="shared" si="3"/>
        <v>6.4</v>
      </c>
      <c r="M275" s="101" t="s">
        <v>855</v>
      </c>
      <c r="N275" s="92"/>
      <c r="O275" s="65"/>
      <c r="P275" s="65"/>
      <c r="Q275" s="65"/>
      <c r="R275" s="65"/>
    </row>
    <row r="276" spans="1:18" s="64" customFormat="1" ht="24.75" customHeight="1">
      <c r="A276" s="94">
        <v>254</v>
      </c>
      <c r="B276" s="95" t="s">
        <v>1119</v>
      </c>
      <c r="C276" s="117" t="s">
        <v>317</v>
      </c>
      <c r="D276" s="118" t="s">
        <v>68</v>
      </c>
      <c r="E276" s="94" t="s">
        <v>779</v>
      </c>
      <c r="F276" s="143" t="s">
        <v>1301</v>
      </c>
      <c r="G276" s="98">
        <v>6</v>
      </c>
      <c r="H276" s="99">
        <v>5</v>
      </c>
      <c r="I276" s="98">
        <v>6</v>
      </c>
      <c r="J276" s="98">
        <v>6</v>
      </c>
      <c r="K276" s="98"/>
      <c r="L276" s="100">
        <f aca="true" t="shared" si="4" ref="L276:L287">ROUND(G276*$C$11+H276*$C$12+I276*$C$13+J276*$C$14+K276*$C$15,1)</f>
        <v>5.9</v>
      </c>
      <c r="M276" s="101" t="s">
        <v>855</v>
      </c>
      <c r="N276" s="92"/>
      <c r="O276" s="65"/>
      <c r="P276" s="65"/>
      <c r="Q276" s="65"/>
      <c r="R276" s="65"/>
    </row>
    <row r="277" spans="1:18" s="64" customFormat="1" ht="24.75" customHeight="1">
      <c r="A277" s="94">
        <v>255</v>
      </c>
      <c r="B277" s="95" t="s">
        <v>1120</v>
      </c>
      <c r="C277" s="117" t="s">
        <v>338</v>
      </c>
      <c r="D277" s="118" t="s">
        <v>119</v>
      </c>
      <c r="E277" s="94" t="s">
        <v>819</v>
      </c>
      <c r="F277" s="143" t="s">
        <v>1301</v>
      </c>
      <c r="G277" s="98">
        <v>6</v>
      </c>
      <c r="H277" s="99">
        <v>8</v>
      </c>
      <c r="I277" s="98">
        <v>6</v>
      </c>
      <c r="J277" s="98">
        <v>6</v>
      </c>
      <c r="K277" s="98"/>
      <c r="L277" s="100">
        <f t="shared" si="4"/>
        <v>6.2</v>
      </c>
      <c r="M277" s="101" t="s">
        <v>855</v>
      </c>
      <c r="N277" s="92"/>
      <c r="O277" s="65"/>
      <c r="P277" s="65"/>
      <c r="Q277" s="65"/>
      <c r="R277" s="65"/>
    </row>
    <row r="278" spans="1:18" s="64" customFormat="1" ht="24.75" customHeight="1">
      <c r="A278" s="94">
        <v>256</v>
      </c>
      <c r="B278" s="95" t="s">
        <v>1121</v>
      </c>
      <c r="C278" s="117" t="s">
        <v>69</v>
      </c>
      <c r="D278" s="118" t="s">
        <v>119</v>
      </c>
      <c r="E278" s="94" t="s">
        <v>686</v>
      </c>
      <c r="F278" s="143" t="s">
        <v>1301</v>
      </c>
      <c r="G278" s="98"/>
      <c r="H278" s="99"/>
      <c r="I278" s="98"/>
      <c r="J278" s="98"/>
      <c r="K278" s="98"/>
      <c r="L278" s="100">
        <f t="shared" si="4"/>
        <v>0</v>
      </c>
      <c r="M278" s="101" t="s">
        <v>855</v>
      </c>
      <c r="N278" s="92"/>
      <c r="O278" s="65"/>
      <c r="P278" s="65"/>
      <c r="Q278" s="65"/>
      <c r="R278" s="65"/>
    </row>
    <row r="279" spans="1:18" s="64" customFormat="1" ht="24.75" customHeight="1">
      <c r="A279" s="94">
        <v>257</v>
      </c>
      <c r="B279" s="95" t="s">
        <v>1122</v>
      </c>
      <c r="C279" s="117" t="s">
        <v>229</v>
      </c>
      <c r="D279" s="118" t="s">
        <v>137</v>
      </c>
      <c r="E279" s="94" t="s">
        <v>687</v>
      </c>
      <c r="F279" s="143" t="s">
        <v>1301</v>
      </c>
      <c r="G279" s="98">
        <v>7</v>
      </c>
      <c r="H279" s="99">
        <v>8</v>
      </c>
      <c r="I279" s="98">
        <v>6.5</v>
      </c>
      <c r="J279" s="98">
        <v>8</v>
      </c>
      <c r="K279" s="98"/>
      <c r="L279" s="100">
        <f t="shared" si="4"/>
        <v>7.6</v>
      </c>
      <c r="M279" s="101" t="s">
        <v>855</v>
      </c>
      <c r="N279" s="92"/>
      <c r="O279" s="65"/>
      <c r="P279" s="65"/>
      <c r="Q279" s="65"/>
      <c r="R279" s="65"/>
    </row>
    <row r="280" spans="1:18" s="64" customFormat="1" ht="24.75" customHeight="1">
      <c r="A280" s="94">
        <v>258</v>
      </c>
      <c r="B280" s="95" t="s">
        <v>1123</v>
      </c>
      <c r="C280" s="117" t="s">
        <v>455</v>
      </c>
      <c r="D280" s="118" t="s">
        <v>102</v>
      </c>
      <c r="E280" s="94" t="s">
        <v>844</v>
      </c>
      <c r="F280" s="143" t="s">
        <v>1301</v>
      </c>
      <c r="G280" s="98">
        <v>6</v>
      </c>
      <c r="H280" s="99">
        <v>6</v>
      </c>
      <c r="I280" s="98">
        <v>3</v>
      </c>
      <c r="J280" s="98">
        <v>6</v>
      </c>
      <c r="K280" s="98"/>
      <c r="L280" s="100">
        <f t="shared" si="4"/>
        <v>5.4</v>
      </c>
      <c r="M280" s="101" t="s">
        <v>855</v>
      </c>
      <c r="N280" s="92"/>
      <c r="O280" s="65"/>
      <c r="P280" s="65"/>
      <c r="Q280" s="65"/>
      <c r="R280" s="65"/>
    </row>
    <row r="281" spans="1:18" s="64" customFormat="1" ht="24.75" customHeight="1">
      <c r="A281" s="94">
        <v>259</v>
      </c>
      <c r="B281" s="95" t="s">
        <v>1124</v>
      </c>
      <c r="C281" s="117" t="s">
        <v>257</v>
      </c>
      <c r="D281" s="118" t="s">
        <v>104</v>
      </c>
      <c r="E281" s="94" t="s">
        <v>671</v>
      </c>
      <c r="F281" s="143" t="s">
        <v>1301</v>
      </c>
      <c r="G281" s="98">
        <v>6</v>
      </c>
      <c r="H281" s="99">
        <v>7</v>
      </c>
      <c r="I281" s="98">
        <v>3.5</v>
      </c>
      <c r="J281" s="98">
        <v>6</v>
      </c>
      <c r="K281" s="98"/>
      <c r="L281" s="100">
        <f t="shared" si="4"/>
        <v>5.6</v>
      </c>
      <c r="M281" s="101" t="s">
        <v>855</v>
      </c>
      <c r="N281" s="92"/>
      <c r="O281" s="65"/>
      <c r="P281" s="65"/>
      <c r="Q281" s="65"/>
      <c r="R281" s="65"/>
    </row>
    <row r="282" spans="1:18" s="64" customFormat="1" ht="24.75" customHeight="1">
      <c r="A282" s="94">
        <v>260</v>
      </c>
      <c r="B282" s="95" t="s">
        <v>1125</v>
      </c>
      <c r="C282" s="117" t="s">
        <v>270</v>
      </c>
      <c r="D282" s="118" t="s">
        <v>72</v>
      </c>
      <c r="E282" s="94" t="s">
        <v>700</v>
      </c>
      <c r="F282" s="143" t="s">
        <v>1301</v>
      </c>
      <c r="G282" s="98">
        <v>6</v>
      </c>
      <c r="H282" s="99">
        <v>6</v>
      </c>
      <c r="I282" s="98">
        <v>6</v>
      </c>
      <c r="J282" s="98">
        <v>8</v>
      </c>
      <c r="K282" s="98"/>
      <c r="L282" s="100">
        <f t="shared" si="4"/>
        <v>7.2</v>
      </c>
      <c r="M282" s="101" t="s">
        <v>855</v>
      </c>
      <c r="N282" s="92"/>
      <c r="O282" s="65"/>
      <c r="P282" s="65"/>
      <c r="Q282" s="65"/>
      <c r="R282" s="65"/>
    </row>
    <row r="283" spans="1:18" s="64" customFormat="1" ht="24.75" customHeight="1">
      <c r="A283" s="94">
        <v>261</v>
      </c>
      <c r="B283" s="95" t="s">
        <v>1126</v>
      </c>
      <c r="C283" s="117" t="s">
        <v>416</v>
      </c>
      <c r="D283" s="118" t="s">
        <v>417</v>
      </c>
      <c r="E283" s="94" t="s">
        <v>695</v>
      </c>
      <c r="F283" s="143" t="s">
        <v>1301</v>
      </c>
      <c r="G283" s="98">
        <v>8</v>
      </c>
      <c r="H283" s="99">
        <v>5</v>
      </c>
      <c r="I283" s="98">
        <v>7.5</v>
      </c>
      <c r="J283" s="98">
        <v>9</v>
      </c>
      <c r="K283" s="98"/>
      <c r="L283" s="100">
        <f t="shared" si="4"/>
        <v>8.2</v>
      </c>
      <c r="M283" s="101" t="s">
        <v>855</v>
      </c>
      <c r="N283" s="92"/>
      <c r="O283" s="65"/>
      <c r="P283" s="65"/>
      <c r="Q283" s="65"/>
      <c r="R283" s="65"/>
    </row>
    <row r="284" spans="1:18" s="64" customFormat="1" ht="24.75" customHeight="1">
      <c r="A284" s="94">
        <v>262</v>
      </c>
      <c r="B284" s="95" t="s">
        <v>1127</v>
      </c>
      <c r="C284" s="117" t="s">
        <v>258</v>
      </c>
      <c r="D284" s="118" t="s">
        <v>408</v>
      </c>
      <c r="E284" s="94" t="s">
        <v>673</v>
      </c>
      <c r="F284" s="143" t="s">
        <v>1301</v>
      </c>
      <c r="G284" s="98"/>
      <c r="H284" s="99"/>
      <c r="I284" s="98"/>
      <c r="J284" s="98"/>
      <c r="K284" s="98"/>
      <c r="L284" s="100">
        <f t="shared" si="4"/>
        <v>0</v>
      </c>
      <c r="M284" s="101" t="s">
        <v>855</v>
      </c>
      <c r="N284" s="92"/>
      <c r="O284" s="65"/>
      <c r="P284" s="65"/>
      <c r="Q284" s="65"/>
      <c r="R284" s="65"/>
    </row>
    <row r="285" spans="1:18" s="64" customFormat="1" ht="24.75" customHeight="1">
      <c r="A285" s="94">
        <v>263</v>
      </c>
      <c r="B285" s="95" t="s">
        <v>1128</v>
      </c>
      <c r="C285" s="117" t="s">
        <v>147</v>
      </c>
      <c r="D285" s="118" t="s">
        <v>105</v>
      </c>
      <c r="E285" s="94" t="s">
        <v>499</v>
      </c>
      <c r="F285" s="143" t="s">
        <v>1301</v>
      </c>
      <c r="G285" s="98">
        <v>8</v>
      </c>
      <c r="H285" s="99">
        <v>8</v>
      </c>
      <c r="I285" s="98">
        <v>7.5</v>
      </c>
      <c r="J285" s="98">
        <v>7</v>
      </c>
      <c r="K285" s="98"/>
      <c r="L285" s="100">
        <f t="shared" si="4"/>
        <v>7.3</v>
      </c>
      <c r="M285" s="101" t="s">
        <v>855</v>
      </c>
      <c r="N285" s="92"/>
      <c r="O285" s="65"/>
      <c r="P285" s="65"/>
      <c r="Q285" s="65"/>
      <c r="R285" s="65"/>
    </row>
    <row r="286" spans="1:18" s="64" customFormat="1" ht="24.75" customHeight="1">
      <c r="A286" s="94">
        <v>264</v>
      </c>
      <c r="B286" s="95" t="s">
        <v>1129</v>
      </c>
      <c r="C286" s="117" t="s">
        <v>265</v>
      </c>
      <c r="D286" s="118" t="s">
        <v>105</v>
      </c>
      <c r="E286" s="94" t="s">
        <v>688</v>
      </c>
      <c r="F286" s="143" t="s">
        <v>1301</v>
      </c>
      <c r="G286" s="98">
        <v>6</v>
      </c>
      <c r="H286" s="99">
        <v>4</v>
      </c>
      <c r="I286" s="98">
        <v>5</v>
      </c>
      <c r="J286" s="98">
        <v>7</v>
      </c>
      <c r="K286" s="98"/>
      <c r="L286" s="100">
        <f t="shared" si="4"/>
        <v>6.2</v>
      </c>
      <c r="M286" s="101" t="s">
        <v>855</v>
      </c>
      <c r="N286" s="92"/>
      <c r="O286" s="65"/>
      <c r="P286" s="65"/>
      <c r="Q286" s="65"/>
      <c r="R286" s="65"/>
    </row>
    <row r="287" spans="1:18" s="64" customFormat="1" ht="24.75" customHeight="1">
      <c r="A287" s="94">
        <v>265</v>
      </c>
      <c r="B287" s="95" t="s">
        <v>1130</v>
      </c>
      <c r="C287" s="117" t="s">
        <v>351</v>
      </c>
      <c r="D287" s="118" t="s">
        <v>352</v>
      </c>
      <c r="E287" s="94" t="s">
        <v>731</v>
      </c>
      <c r="F287" s="143" t="s">
        <v>1301</v>
      </c>
      <c r="G287" s="98">
        <v>6</v>
      </c>
      <c r="H287" s="99">
        <v>8</v>
      </c>
      <c r="I287" s="98">
        <v>3.5</v>
      </c>
      <c r="J287" s="98">
        <v>8</v>
      </c>
      <c r="K287" s="98"/>
      <c r="L287" s="100">
        <f t="shared" si="4"/>
        <v>6.9</v>
      </c>
      <c r="M287" s="101" t="s">
        <v>855</v>
      </c>
      <c r="N287" s="92"/>
      <c r="O287" s="65"/>
      <c r="P287" s="65"/>
      <c r="Q287" s="65"/>
      <c r="R287" s="65"/>
    </row>
    <row r="288" spans="1:18" s="64" customFormat="1" ht="29.25" customHeight="1">
      <c r="A288" s="94"/>
      <c r="B288" s="95"/>
      <c r="C288" s="117" t="s">
        <v>1382</v>
      </c>
      <c r="D288" s="118" t="s">
        <v>1383</v>
      </c>
      <c r="E288" s="94"/>
      <c r="F288" s="143"/>
      <c r="G288" s="98">
        <v>6</v>
      </c>
      <c r="H288" s="99">
        <v>5</v>
      </c>
      <c r="I288" s="98">
        <v>5</v>
      </c>
      <c r="J288" s="98"/>
      <c r="K288" s="98"/>
      <c r="L288" s="100"/>
      <c r="M288" s="101" t="s">
        <v>1384</v>
      </c>
      <c r="N288" s="92"/>
      <c r="O288" s="65"/>
      <c r="P288" s="65"/>
      <c r="Q288" s="65"/>
      <c r="R288" s="65"/>
    </row>
    <row r="289" spans="1:18" s="64" customFormat="1" ht="24.75" customHeight="1">
      <c r="A289" s="94">
        <v>266</v>
      </c>
      <c r="B289" s="95" t="s">
        <v>1131</v>
      </c>
      <c r="C289" s="117" t="s">
        <v>425</v>
      </c>
      <c r="D289" s="118" t="s">
        <v>37</v>
      </c>
      <c r="E289" s="94" t="s">
        <v>721</v>
      </c>
      <c r="F289" s="143" t="s">
        <v>1302</v>
      </c>
      <c r="G289" s="98">
        <v>6</v>
      </c>
      <c r="H289" s="99">
        <v>6</v>
      </c>
      <c r="I289" s="98">
        <v>6</v>
      </c>
      <c r="J289" s="98">
        <v>9</v>
      </c>
      <c r="K289" s="98"/>
      <c r="L289" s="100">
        <f aca="true" t="shared" si="5" ref="L289:L313">ROUND(G289*$C$11+H289*$C$12+I289*$C$13+J289*$C$14+K289*$C$15,1)</f>
        <v>7.8</v>
      </c>
      <c r="M289" s="101" t="s">
        <v>1328</v>
      </c>
      <c r="N289" s="92"/>
      <c r="O289" s="65"/>
      <c r="P289" s="65"/>
      <c r="Q289" s="65"/>
      <c r="R289" s="65"/>
    </row>
    <row r="290" spans="1:18" s="64" customFormat="1" ht="24.75" customHeight="1">
      <c r="A290" s="94">
        <v>267</v>
      </c>
      <c r="B290" s="95" t="s">
        <v>1132</v>
      </c>
      <c r="C290" s="117" t="s">
        <v>424</v>
      </c>
      <c r="D290" s="118" t="s">
        <v>37</v>
      </c>
      <c r="E290" s="94" t="s">
        <v>699</v>
      </c>
      <c r="F290" s="143" t="s">
        <v>1302</v>
      </c>
      <c r="G290" s="98">
        <v>6</v>
      </c>
      <c r="H290" s="99">
        <v>8</v>
      </c>
      <c r="I290" s="98">
        <v>5</v>
      </c>
      <c r="J290" s="98">
        <v>3</v>
      </c>
      <c r="K290" s="98"/>
      <c r="L290" s="100">
        <f t="shared" si="5"/>
        <v>4.2</v>
      </c>
      <c r="M290" s="101" t="s">
        <v>1328</v>
      </c>
      <c r="N290" s="92"/>
      <c r="O290" s="65"/>
      <c r="P290" s="65"/>
      <c r="Q290" s="65"/>
      <c r="R290" s="65"/>
    </row>
    <row r="291" spans="1:18" s="64" customFormat="1" ht="24.75" customHeight="1">
      <c r="A291" s="94">
        <v>268</v>
      </c>
      <c r="B291" s="95" t="s">
        <v>1133</v>
      </c>
      <c r="C291" s="117" t="s">
        <v>426</v>
      </c>
      <c r="D291" s="118" t="s">
        <v>427</v>
      </c>
      <c r="E291" s="94" t="s">
        <v>722</v>
      </c>
      <c r="F291" s="143" t="s">
        <v>1302</v>
      </c>
      <c r="G291" s="98">
        <v>6</v>
      </c>
      <c r="H291" s="99">
        <v>8</v>
      </c>
      <c r="I291" s="98">
        <v>1</v>
      </c>
      <c r="J291" s="98">
        <v>7</v>
      </c>
      <c r="K291" s="98"/>
      <c r="L291" s="100">
        <f t="shared" si="5"/>
        <v>5.8</v>
      </c>
      <c r="M291" s="101" t="s">
        <v>1328</v>
      </c>
      <c r="N291" s="92"/>
      <c r="O291" s="65"/>
      <c r="P291" s="65"/>
      <c r="Q291" s="65"/>
      <c r="R291" s="65"/>
    </row>
    <row r="292" spans="1:18" s="64" customFormat="1" ht="24.75" customHeight="1">
      <c r="A292" s="94">
        <v>269</v>
      </c>
      <c r="B292" s="95" t="s">
        <v>1134</v>
      </c>
      <c r="C292" s="117" t="s">
        <v>61</v>
      </c>
      <c r="D292" s="118" t="s">
        <v>77</v>
      </c>
      <c r="E292" s="94" t="s">
        <v>720</v>
      </c>
      <c r="F292" s="143" t="s">
        <v>1302</v>
      </c>
      <c r="G292" s="128"/>
      <c r="H292" s="99">
        <v>8</v>
      </c>
      <c r="I292" s="98">
        <v>0</v>
      </c>
      <c r="J292" s="98">
        <v>5</v>
      </c>
      <c r="K292" s="98"/>
      <c r="L292" s="100">
        <f t="shared" si="5"/>
        <v>3.8</v>
      </c>
      <c r="M292" s="101" t="s">
        <v>1328</v>
      </c>
      <c r="N292" s="92" t="s">
        <v>1356</v>
      </c>
      <c r="O292" s="65"/>
      <c r="P292" s="65"/>
      <c r="Q292" s="65"/>
      <c r="R292" s="65"/>
    </row>
    <row r="293" spans="1:18" s="64" customFormat="1" ht="24.75" customHeight="1">
      <c r="A293" s="94">
        <v>270</v>
      </c>
      <c r="B293" s="95" t="s">
        <v>1135</v>
      </c>
      <c r="C293" s="117" t="s">
        <v>400</v>
      </c>
      <c r="D293" s="118" t="s">
        <v>47</v>
      </c>
      <c r="E293" s="94" t="s">
        <v>795</v>
      </c>
      <c r="F293" s="143" t="s">
        <v>1302</v>
      </c>
      <c r="G293" s="98">
        <v>7</v>
      </c>
      <c r="H293" s="99">
        <v>9</v>
      </c>
      <c r="I293" s="98">
        <v>7</v>
      </c>
      <c r="J293" s="98">
        <v>7</v>
      </c>
      <c r="K293" s="98"/>
      <c r="L293" s="100">
        <f t="shared" si="5"/>
        <v>7.2</v>
      </c>
      <c r="M293" s="101" t="s">
        <v>1328</v>
      </c>
      <c r="N293" s="92"/>
      <c r="O293" s="65"/>
      <c r="P293" s="65"/>
      <c r="Q293" s="65"/>
      <c r="R293" s="65"/>
    </row>
    <row r="294" spans="1:18" s="64" customFormat="1" ht="24.75" customHeight="1">
      <c r="A294" s="94">
        <v>271</v>
      </c>
      <c r="B294" s="95" t="s">
        <v>1136</v>
      </c>
      <c r="C294" s="117" t="s">
        <v>272</v>
      </c>
      <c r="D294" s="118" t="s">
        <v>47</v>
      </c>
      <c r="E294" s="94" t="s">
        <v>706</v>
      </c>
      <c r="F294" s="143" t="s">
        <v>1302</v>
      </c>
      <c r="G294" s="98">
        <v>6</v>
      </c>
      <c r="H294" s="99">
        <v>8</v>
      </c>
      <c r="I294" s="98">
        <v>6</v>
      </c>
      <c r="J294" s="98">
        <v>5</v>
      </c>
      <c r="K294" s="98"/>
      <c r="L294" s="100">
        <f t="shared" si="5"/>
        <v>5.6</v>
      </c>
      <c r="M294" s="101" t="s">
        <v>1328</v>
      </c>
      <c r="N294" s="92"/>
      <c r="O294" s="65"/>
      <c r="P294" s="65"/>
      <c r="Q294" s="65"/>
      <c r="R294" s="65"/>
    </row>
    <row r="295" spans="1:18" s="64" customFormat="1" ht="24.75" customHeight="1">
      <c r="A295" s="94">
        <v>272</v>
      </c>
      <c r="B295" s="95" t="s">
        <v>1137</v>
      </c>
      <c r="C295" s="117" t="s">
        <v>275</v>
      </c>
      <c r="D295" s="118" t="s">
        <v>47</v>
      </c>
      <c r="E295" s="94" t="s">
        <v>712</v>
      </c>
      <c r="F295" s="143" t="s">
        <v>1302</v>
      </c>
      <c r="G295" s="98">
        <v>6</v>
      </c>
      <c r="H295" s="99">
        <v>7</v>
      </c>
      <c r="I295" s="98">
        <v>3.5</v>
      </c>
      <c r="J295" s="98">
        <v>7</v>
      </c>
      <c r="K295" s="98"/>
      <c r="L295" s="100">
        <f t="shared" si="5"/>
        <v>6.2</v>
      </c>
      <c r="M295" s="101" t="s">
        <v>1328</v>
      </c>
      <c r="N295" s="92"/>
      <c r="O295" s="65"/>
      <c r="P295" s="65"/>
      <c r="Q295" s="65"/>
      <c r="R295" s="65"/>
    </row>
    <row r="296" spans="1:18" s="64" customFormat="1" ht="24.75" customHeight="1">
      <c r="A296" s="94">
        <v>273</v>
      </c>
      <c r="B296" s="95" t="s">
        <v>1138</v>
      </c>
      <c r="C296" s="117" t="s">
        <v>276</v>
      </c>
      <c r="D296" s="118" t="s">
        <v>48</v>
      </c>
      <c r="E296" s="94" t="s">
        <v>713</v>
      </c>
      <c r="F296" s="143" t="s">
        <v>1302</v>
      </c>
      <c r="G296" s="98"/>
      <c r="H296" s="99"/>
      <c r="I296" s="98"/>
      <c r="J296" s="98"/>
      <c r="K296" s="98"/>
      <c r="L296" s="100">
        <f t="shared" si="5"/>
        <v>0</v>
      </c>
      <c r="M296" s="101" t="s">
        <v>1328</v>
      </c>
      <c r="N296" s="92" t="s">
        <v>1342</v>
      </c>
      <c r="O296" s="65"/>
      <c r="P296" s="65"/>
      <c r="Q296" s="65"/>
      <c r="R296" s="65"/>
    </row>
    <row r="297" spans="1:18" s="64" customFormat="1" ht="24.75" customHeight="1">
      <c r="A297" s="94">
        <v>274</v>
      </c>
      <c r="B297" s="124" t="s">
        <v>1139</v>
      </c>
      <c r="C297" s="125" t="s">
        <v>41</v>
      </c>
      <c r="D297" s="126" t="s">
        <v>49</v>
      </c>
      <c r="E297" s="127" t="s">
        <v>703</v>
      </c>
      <c r="F297" s="145" t="s">
        <v>1302</v>
      </c>
      <c r="G297" s="128"/>
      <c r="H297" s="99"/>
      <c r="I297" s="128"/>
      <c r="J297" s="128"/>
      <c r="K297" s="128"/>
      <c r="L297" s="129">
        <f t="shared" si="5"/>
        <v>0</v>
      </c>
      <c r="M297" s="101" t="s">
        <v>1328</v>
      </c>
      <c r="N297" s="92" t="s">
        <v>1342</v>
      </c>
      <c r="O297" s="65"/>
      <c r="P297" s="65"/>
      <c r="Q297" s="65"/>
      <c r="R297" s="65"/>
    </row>
    <row r="298" spans="1:18" s="64" customFormat="1" ht="24.75" customHeight="1">
      <c r="A298" s="94">
        <v>275</v>
      </c>
      <c r="B298" s="95" t="s">
        <v>1140</v>
      </c>
      <c r="C298" s="117" t="s">
        <v>422</v>
      </c>
      <c r="D298" s="118" t="s">
        <v>84</v>
      </c>
      <c r="E298" s="94" t="s">
        <v>714</v>
      </c>
      <c r="F298" s="143" t="s">
        <v>1302</v>
      </c>
      <c r="G298" s="98">
        <v>7</v>
      </c>
      <c r="H298" s="99">
        <v>8</v>
      </c>
      <c r="I298" s="98">
        <v>7</v>
      </c>
      <c r="J298" s="98">
        <v>7</v>
      </c>
      <c r="K298" s="98"/>
      <c r="L298" s="100">
        <f t="shared" si="5"/>
        <v>7.1</v>
      </c>
      <c r="M298" s="101" t="s">
        <v>1328</v>
      </c>
      <c r="N298" s="92"/>
      <c r="O298" s="65"/>
      <c r="P298" s="65"/>
      <c r="Q298" s="65"/>
      <c r="R298" s="65"/>
    </row>
    <row r="299" spans="1:18" s="64" customFormat="1" ht="24.75" customHeight="1">
      <c r="A299" s="94">
        <v>276</v>
      </c>
      <c r="B299" s="95" t="s">
        <v>1141</v>
      </c>
      <c r="C299" s="117" t="s">
        <v>314</v>
      </c>
      <c r="D299" s="118" t="s">
        <v>57</v>
      </c>
      <c r="E299" s="94" t="s">
        <v>796</v>
      </c>
      <c r="F299" s="143" t="s">
        <v>1302</v>
      </c>
      <c r="G299" s="98">
        <v>6</v>
      </c>
      <c r="H299" s="99">
        <v>8</v>
      </c>
      <c r="I299" s="98">
        <v>3.5</v>
      </c>
      <c r="J299" s="98">
        <v>5</v>
      </c>
      <c r="K299" s="98"/>
      <c r="L299" s="100">
        <f t="shared" si="5"/>
        <v>5.1</v>
      </c>
      <c r="M299" s="101" t="s">
        <v>1328</v>
      </c>
      <c r="N299" s="92"/>
      <c r="O299" s="65"/>
      <c r="P299" s="65"/>
      <c r="Q299" s="65"/>
      <c r="R299" s="65"/>
    </row>
    <row r="300" spans="1:18" s="64" customFormat="1" ht="24.75" customHeight="1">
      <c r="A300" s="94">
        <v>277</v>
      </c>
      <c r="B300" s="95" t="s">
        <v>1142</v>
      </c>
      <c r="C300" s="117" t="s">
        <v>420</v>
      </c>
      <c r="D300" s="118" t="s">
        <v>58</v>
      </c>
      <c r="E300" s="94" t="s">
        <v>707</v>
      </c>
      <c r="F300" s="143" t="s">
        <v>1302</v>
      </c>
      <c r="G300" s="98">
        <v>7</v>
      </c>
      <c r="H300" s="99">
        <v>8</v>
      </c>
      <c r="I300" s="98">
        <v>7</v>
      </c>
      <c r="J300" s="98">
        <v>5</v>
      </c>
      <c r="K300" s="98"/>
      <c r="L300" s="100">
        <f t="shared" si="5"/>
        <v>5.9</v>
      </c>
      <c r="M300" s="101" t="s">
        <v>1328</v>
      </c>
      <c r="N300" s="92"/>
      <c r="O300" s="65"/>
      <c r="P300" s="65"/>
      <c r="Q300" s="65"/>
      <c r="R300" s="65"/>
    </row>
    <row r="301" spans="1:18" s="64" customFormat="1" ht="24.75" customHeight="1">
      <c r="A301" s="94">
        <v>278</v>
      </c>
      <c r="B301" s="95" t="s">
        <v>1143</v>
      </c>
      <c r="C301" s="117" t="s">
        <v>42</v>
      </c>
      <c r="D301" s="118" t="s">
        <v>54</v>
      </c>
      <c r="E301" s="94" t="s">
        <v>723</v>
      </c>
      <c r="F301" s="143" t="s">
        <v>1302</v>
      </c>
      <c r="G301" s="98">
        <v>5.5</v>
      </c>
      <c r="H301" s="99">
        <v>8</v>
      </c>
      <c r="I301" s="98">
        <v>6</v>
      </c>
      <c r="J301" s="98">
        <v>4</v>
      </c>
      <c r="K301" s="98"/>
      <c r="L301" s="100">
        <f t="shared" si="5"/>
        <v>5</v>
      </c>
      <c r="M301" s="101" t="s">
        <v>1335</v>
      </c>
      <c r="N301" s="92"/>
      <c r="O301" s="65"/>
      <c r="P301" s="65"/>
      <c r="Q301" s="65"/>
      <c r="R301" s="65"/>
    </row>
    <row r="302" spans="1:18" s="64" customFormat="1" ht="24.75" customHeight="1">
      <c r="A302" s="94">
        <v>279</v>
      </c>
      <c r="B302" s="95" t="s">
        <v>1144</v>
      </c>
      <c r="C302" s="117" t="s">
        <v>163</v>
      </c>
      <c r="D302" s="118" t="s">
        <v>60</v>
      </c>
      <c r="E302" s="94" t="s">
        <v>710</v>
      </c>
      <c r="F302" s="143" t="s">
        <v>1302</v>
      </c>
      <c r="G302" s="98">
        <v>6</v>
      </c>
      <c r="H302" s="99">
        <v>8</v>
      </c>
      <c r="I302" s="98">
        <v>5.5</v>
      </c>
      <c r="J302" s="98">
        <v>6</v>
      </c>
      <c r="K302" s="98"/>
      <c r="L302" s="100">
        <f t="shared" si="5"/>
        <v>6.1</v>
      </c>
      <c r="M302" s="101" t="s">
        <v>1328</v>
      </c>
      <c r="N302" s="92"/>
      <c r="O302" s="65"/>
      <c r="P302" s="65"/>
      <c r="Q302" s="65"/>
      <c r="R302" s="65"/>
    </row>
    <row r="303" spans="1:18" s="64" customFormat="1" ht="24.75" customHeight="1">
      <c r="A303" s="94">
        <v>280</v>
      </c>
      <c r="B303" s="95" t="s">
        <v>1145</v>
      </c>
      <c r="C303" s="117" t="s">
        <v>163</v>
      </c>
      <c r="D303" s="118" t="s">
        <v>60</v>
      </c>
      <c r="E303" s="94" t="s">
        <v>715</v>
      </c>
      <c r="F303" s="143" t="s">
        <v>1302</v>
      </c>
      <c r="G303" s="98">
        <v>6</v>
      </c>
      <c r="H303" s="99">
        <v>0</v>
      </c>
      <c r="I303" s="98">
        <v>2</v>
      </c>
      <c r="J303" s="98">
        <v>0</v>
      </c>
      <c r="K303" s="98"/>
      <c r="L303" s="100">
        <f t="shared" si="5"/>
        <v>1</v>
      </c>
      <c r="M303" s="101" t="s">
        <v>1328</v>
      </c>
      <c r="N303" s="92" t="s">
        <v>1357</v>
      </c>
      <c r="O303" s="65"/>
      <c r="P303" s="65"/>
      <c r="Q303" s="65"/>
      <c r="R303" s="65"/>
    </row>
    <row r="304" spans="1:18" s="64" customFormat="1" ht="24.75" customHeight="1">
      <c r="A304" s="94">
        <v>281</v>
      </c>
      <c r="B304" s="95" t="s">
        <v>1146</v>
      </c>
      <c r="C304" s="117" t="s">
        <v>423</v>
      </c>
      <c r="D304" s="118" t="s">
        <v>277</v>
      </c>
      <c r="E304" s="94" t="s">
        <v>716</v>
      </c>
      <c r="F304" s="143" t="s">
        <v>1302</v>
      </c>
      <c r="G304" s="98">
        <v>6</v>
      </c>
      <c r="H304" s="99"/>
      <c r="I304" s="98">
        <v>5.5</v>
      </c>
      <c r="J304" s="98"/>
      <c r="K304" s="98"/>
      <c r="L304" s="100">
        <f t="shared" si="5"/>
        <v>1.7</v>
      </c>
      <c r="M304" s="101" t="s">
        <v>1328</v>
      </c>
      <c r="N304" s="92" t="s">
        <v>1357</v>
      </c>
      <c r="O304" s="65"/>
      <c r="P304" s="65"/>
      <c r="Q304" s="65"/>
      <c r="R304" s="65"/>
    </row>
    <row r="305" spans="1:18" s="64" customFormat="1" ht="24.75" customHeight="1">
      <c r="A305" s="94">
        <v>282</v>
      </c>
      <c r="B305" s="95" t="s">
        <v>1147</v>
      </c>
      <c r="C305" s="117" t="s">
        <v>274</v>
      </c>
      <c r="D305" s="118" t="s">
        <v>62</v>
      </c>
      <c r="E305" s="94" t="s">
        <v>711</v>
      </c>
      <c r="F305" s="143" t="s">
        <v>1302</v>
      </c>
      <c r="G305" s="98">
        <v>6</v>
      </c>
      <c r="H305" s="99">
        <v>6</v>
      </c>
      <c r="I305" s="98">
        <v>5</v>
      </c>
      <c r="J305" s="98">
        <v>7</v>
      </c>
      <c r="K305" s="98"/>
      <c r="L305" s="100">
        <f t="shared" si="5"/>
        <v>6.4</v>
      </c>
      <c r="M305" s="101" t="s">
        <v>1328</v>
      </c>
      <c r="N305" s="92"/>
      <c r="O305" s="65"/>
      <c r="P305" s="65"/>
      <c r="Q305" s="65"/>
      <c r="R305" s="65"/>
    </row>
    <row r="306" spans="1:18" s="64" customFormat="1" ht="24.75" customHeight="1">
      <c r="A306" s="94">
        <v>283</v>
      </c>
      <c r="B306" s="95" t="s">
        <v>1148</v>
      </c>
      <c r="C306" s="117" t="s">
        <v>41</v>
      </c>
      <c r="D306" s="118" t="s">
        <v>62</v>
      </c>
      <c r="E306" s="94" t="s">
        <v>709</v>
      </c>
      <c r="F306" s="143" t="s">
        <v>1302</v>
      </c>
      <c r="G306" s="98">
        <v>6</v>
      </c>
      <c r="H306" s="99">
        <v>8</v>
      </c>
      <c r="I306" s="98">
        <v>6</v>
      </c>
      <c r="J306" s="98">
        <v>6</v>
      </c>
      <c r="K306" s="98"/>
      <c r="L306" s="100">
        <f t="shared" si="5"/>
        <v>6.2</v>
      </c>
      <c r="M306" s="101" t="s">
        <v>1328</v>
      </c>
      <c r="N306" s="92"/>
      <c r="O306" s="65"/>
      <c r="P306" s="65"/>
      <c r="Q306" s="65"/>
      <c r="R306" s="65"/>
    </row>
    <row r="307" spans="1:18" s="64" customFormat="1" ht="24.75" customHeight="1">
      <c r="A307" s="94">
        <v>284</v>
      </c>
      <c r="B307" s="95" t="s">
        <v>1149</v>
      </c>
      <c r="C307" s="117" t="s">
        <v>205</v>
      </c>
      <c r="D307" s="118" t="s">
        <v>410</v>
      </c>
      <c r="E307" s="94" t="s">
        <v>717</v>
      </c>
      <c r="F307" s="143" t="s">
        <v>1302</v>
      </c>
      <c r="G307" s="98">
        <v>6</v>
      </c>
      <c r="H307" s="99">
        <v>6</v>
      </c>
      <c r="I307" s="98">
        <v>6</v>
      </c>
      <c r="J307" s="98">
        <v>4</v>
      </c>
      <c r="K307" s="98"/>
      <c r="L307" s="100">
        <f t="shared" si="5"/>
        <v>4.8</v>
      </c>
      <c r="M307" s="101" t="s">
        <v>1328</v>
      </c>
      <c r="N307" s="92"/>
      <c r="O307" s="65"/>
      <c r="P307" s="65"/>
      <c r="Q307" s="65"/>
      <c r="R307" s="65"/>
    </row>
    <row r="308" spans="1:18" s="64" customFormat="1" ht="24.75" customHeight="1">
      <c r="A308" s="94">
        <v>285</v>
      </c>
      <c r="B308" s="95" t="s">
        <v>1150</v>
      </c>
      <c r="C308" s="117" t="s">
        <v>279</v>
      </c>
      <c r="D308" s="118" t="s">
        <v>178</v>
      </c>
      <c r="E308" s="94" t="s">
        <v>719</v>
      </c>
      <c r="F308" s="143" t="s">
        <v>1302</v>
      </c>
      <c r="G308" s="98">
        <v>6</v>
      </c>
      <c r="H308" s="99">
        <v>8</v>
      </c>
      <c r="I308" s="98">
        <v>6</v>
      </c>
      <c r="J308" s="98">
        <v>6</v>
      </c>
      <c r="K308" s="98"/>
      <c r="L308" s="100">
        <f t="shared" si="5"/>
        <v>6.2</v>
      </c>
      <c r="M308" s="101" t="s">
        <v>1328</v>
      </c>
      <c r="N308" s="92"/>
      <c r="O308" s="65"/>
      <c r="P308" s="65"/>
      <c r="Q308" s="65"/>
      <c r="R308" s="65"/>
    </row>
    <row r="309" spans="1:18" s="64" customFormat="1" ht="24.75" customHeight="1">
      <c r="A309" s="94">
        <v>286</v>
      </c>
      <c r="B309" s="95" t="s">
        <v>1151</v>
      </c>
      <c r="C309" s="117" t="s">
        <v>271</v>
      </c>
      <c r="D309" s="118" t="s">
        <v>146</v>
      </c>
      <c r="E309" s="94" t="s">
        <v>705</v>
      </c>
      <c r="F309" s="143" t="s">
        <v>1302</v>
      </c>
      <c r="G309" s="98">
        <v>6</v>
      </c>
      <c r="H309" s="99">
        <v>7</v>
      </c>
      <c r="I309" s="98">
        <v>5</v>
      </c>
      <c r="J309" s="98">
        <v>6</v>
      </c>
      <c r="K309" s="98"/>
      <c r="L309" s="100">
        <f t="shared" si="5"/>
        <v>5.9</v>
      </c>
      <c r="M309" s="101" t="s">
        <v>1328</v>
      </c>
      <c r="N309" s="92"/>
      <c r="O309" s="65"/>
      <c r="P309" s="65"/>
      <c r="Q309" s="65"/>
      <c r="R309" s="65"/>
    </row>
    <row r="310" spans="1:18" s="64" customFormat="1" ht="24.75" customHeight="1">
      <c r="A310" s="94">
        <v>287</v>
      </c>
      <c r="B310" s="95" t="s">
        <v>1152</v>
      </c>
      <c r="C310" s="117" t="s">
        <v>269</v>
      </c>
      <c r="D310" s="118" t="s">
        <v>115</v>
      </c>
      <c r="E310" s="94" t="s">
        <v>704</v>
      </c>
      <c r="F310" s="143" t="s">
        <v>1302</v>
      </c>
      <c r="G310" s="98">
        <v>7</v>
      </c>
      <c r="H310" s="99">
        <v>10</v>
      </c>
      <c r="I310" s="98">
        <v>7</v>
      </c>
      <c r="J310" s="98">
        <v>9</v>
      </c>
      <c r="K310" s="98"/>
      <c r="L310" s="100">
        <f t="shared" si="5"/>
        <v>8.5</v>
      </c>
      <c r="M310" s="101" t="s">
        <v>1328</v>
      </c>
      <c r="N310" s="92"/>
      <c r="O310" s="65"/>
      <c r="P310" s="65"/>
      <c r="Q310" s="65"/>
      <c r="R310" s="65"/>
    </row>
    <row r="311" spans="1:18" s="64" customFormat="1" ht="24.75" customHeight="1">
      <c r="A311" s="94">
        <v>288</v>
      </c>
      <c r="B311" s="95" t="s">
        <v>1153</v>
      </c>
      <c r="C311" s="117" t="s">
        <v>278</v>
      </c>
      <c r="D311" s="118" t="s">
        <v>72</v>
      </c>
      <c r="E311" s="94" t="s">
        <v>718</v>
      </c>
      <c r="F311" s="143" t="s">
        <v>1302</v>
      </c>
      <c r="G311" s="98">
        <v>6</v>
      </c>
      <c r="H311" s="99">
        <v>9</v>
      </c>
      <c r="I311" s="98">
        <v>6</v>
      </c>
      <c r="J311" s="98">
        <v>6</v>
      </c>
      <c r="K311" s="98"/>
      <c r="L311" s="100">
        <f t="shared" si="5"/>
        <v>6.3</v>
      </c>
      <c r="M311" s="101" t="s">
        <v>1328</v>
      </c>
      <c r="N311" s="92"/>
      <c r="O311" s="65"/>
      <c r="P311" s="65"/>
      <c r="Q311" s="65"/>
      <c r="R311" s="65"/>
    </row>
    <row r="312" spans="1:18" s="64" customFormat="1" ht="24.75" customHeight="1">
      <c r="A312" s="94">
        <v>289</v>
      </c>
      <c r="B312" s="95" t="s">
        <v>1154</v>
      </c>
      <c r="C312" s="117" t="s">
        <v>94</v>
      </c>
      <c r="D312" s="118" t="s">
        <v>379</v>
      </c>
      <c r="E312" s="94" t="s">
        <v>702</v>
      </c>
      <c r="F312" s="143" t="s">
        <v>1302</v>
      </c>
      <c r="G312" s="98">
        <v>8</v>
      </c>
      <c r="H312" s="99">
        <v>8</v>
      </c>
      <c r="I312" s="98">
        <v>8</v>
      </c>
      <c r="J312" s="98">
        <v>8</v>
      </c>
      <c r="K312" s="98"/>
      <c r="L312" s="100">
        <f t="shared" si="5"/>
        <v>8</v>
      </c>
      <c r="M312" s="101" t="s">
        <v>1328</v>
      </c>
      <c r="N312" s="92"/>
      <c r="O312" s="65"/>
      <c r="P312" s="65"/>
      <c r="Q312" s="65"/>
      <c r="R312" s="65"/>
    </row>
    <row r="313" spans="1:18" s="64" customFormat="1" ht="24.75" customHeight="1">
      <c r="A313" s="94">
        <v>290</v>
      </c>
      <c r="B313" s="95" t="s">
        <v>1155</v>
      </c>
      <c r="C313" s="117" t="s">
        <v>421</v>
      </c>
      <c r="D313" s="118" t="s">
        <v>273</v>
      </c>
      <c r="E313" s="94" t="s">
        <v>708</v>
      </c>
      <c r="F313" s="143" t="s">
        <v>1302</v>
      </c>
      <c r="G313" s="98">
        <v>6</v>
      </c>
      <c r="H313" s="99">
        <v>6</v>
      </c>
      <c r="I313" s="98">
        <v>5</v>
      </c>
      <c r="J313" s="98">
        <v>8</v>
      </c>
      <c r="K313" s="98"/>
      <c r="L313" s="100">
        <f t="shared" si="5"/>
        <v>7</v>
      </c>
      <c r="M313" s="101" t="s">
        <v>1328</v>
      </c>
      <c r="N313" s="92"/>
      <c r="O313" s="65"/>
      <c r="P313" s="65"/>
      <c r="Q313" s="65"/>
      <c r="R313" s="65"/>
    </row>
    <row r="314" spans="1:18" s="64" customFormat="1" ht="24.75" customHeight="1">
      <c r="A314" s="94"/>
      <c r="B314" s="95"/>
      <c r="C314" s="117" t="s">
        <v>1380</v>
      </c>
      <c r="D314" s="118" t="s">
        <v>316</v>
      </c>
      <c r="E314" s="137">
        <v>26109</v>
      </c>
      <c r="F314" s="143"/>
      <c r="G314" s="98">
        <v>6</v>
      </c>
      <c r="H314" s="99"/>
      <c r="I314" s="98">
        <v>5</v>
      </c>
      <c r="J314" s="98"/>
      <c r="K314" s="98"/>
      <c r="L314" s="100"/>
      <c r="M314" s="101" t="s">
        <v>1381</v>
      </c>
      <c r="N314" s="92"/>
      <c r="O314" s="65"/>
      <c r="P314" s="65"/>
      <c r="Q314" s="65"/>
      <c r="R314" s="65"/>
    </row>
    <row r="315" spans="1:18" s="66" customFormat="1" ht="24.75" customHeight="1">
      <c r="A315" s="114">
        <v>291</v>
      </c>
      <c r="B315" s="105" t="s">
        <v>1156</v>
      </c>
      <c r="C315" s="106" t="s">
        <v>101</v>
      </c>
      <c r="D315" s="107" t="s">
        <v>37</v>
      </c>
      <c r="E315" s="114" t="s">
        <v>502</v>
      </c>
      <c r="F315" s="144" t="s">
        <v>1303</v>
      </c>
      <c r="G315" s="115"/>
      <c r="H315" s="108"/>
      <c r="I315" s="115"/>
      <c r="J315" s="115"/>
      <c r="K315" s="115"/>
      <c r="L315" s="109">
        <f aca="true" t="shared" si="6" ref="L315:L346">ROUND(G315*$C$11+H315*$C$12+I315*$C$13+J315*$C$14+K315*$C$15,1)</f>
        <v>0</v>
      </c>
      <c r="M315" s="116" t="s">
        <v>1329</v>
      </c>
      <c r="N315" s="111" t="s">
        <v>1358</v>
      </c>
      <c r="O315" s="79"/>
      <c r="P315" s="79"/>
      <c r="Q315" s="79"/>
      <c r="R315" s="79"/>
    </row>
    <row r="316" spans="1:18" s="64" customFormat="1" ht="24.75" customHeight="1">
      <c r="A316" s="94">
        <v>292</v>
      </c>
      <c r="B316" s="95" t="s">
        <v>1157</v>
      </c>
      <c r="C316" s="96" t="s">
        <v>150</v>
      </c>
      <c r="D316" s="97" t="s">
        <v>368</v>
      </c>
      <c r="E316" s="94" t="s">
        <v>506</v>
      </c>
      <c r="F316" s="143" t="s">
        <v>1303</v>
      </c>
      <c r="G316" s="98">
        <v>6</v>
      </c>
      <c r="H316" s="99">
        <v>7</v>
      </c>
      <c r="I316" s="98">
        <v>3</v>
      </c>
      <c r="J316" s="98">
        <v>6</v>
      </c>
      <c r="K316" s="98"/>
      <c r="L316" s="100">
        <f t="shared" si="6"/>
        <v>5.5</v>
      </c>
      <c r="M316" s="101" t="s">
        <v>1329</v>
      </c>
      <c r="N316" s="92"/>
      <c r="O316" s="65"/>
      <c r="P316" s="65"/>
      <c r="Q316" s="65"/>
      <c r="R316" s="65"/>
    </row>
    <row r="317" spans="1:18" s="64" customFormat="1" ht="24.75" customHeight="1">
      <c r="A317" s="94">
        <v>293</v>
      </c>
      <c r="B317" s="95" t="s">
        <v>1158</v>
      </c>
      <c r="C317" s="96" t="s">
        <v>147</v>
      </c>
      <c r="D317" s="97" t="s">
        <v>74</v>
      </c>
      <c r="E317" s="94" t="s">
        <v>503</v>
      </c>
      <c r="F317" s="143" t="s">
        <v>1303</v>
      </c>
      <c r="G317" s="98">
        <v>6</v>
      </c>
      <c r="H317" s="99">
        <v>8</v>
      </c>
      <c r="I317" s="98">
        <v>6</v>
      </c>
      <c r="J317" s="98">
        <v>7</v>
      </c>
      <c r="K317" s="98"/>
      <c r="L317" s="100">
        <f t="shared" si="6"/>
        <v>6.8</v>
      </c>
      <c r="M317" s="101" t="s">
        <v>1329</v>
      </c>
      <c r="N317" s="92"/>
      <c r="O317" s="65"/>
      <c r="P317" s="65"/>
      <c r="Q317" s="65"/>
      <c r="R317" s="65"/>
    </row>
    <row r="318" spans="1:18" s="64" customFormat="1" ht="24.75" customHeight="1">
      <c r="A318" s="94">
        <v>294</v>
      </c>
      <c r="B318" s="95" t="s">
        <v>1159</v>
      </c>
      <c r="C318" s="96" t="s">
        <v>370</v>
      </c>
      <c r="D318" s="97" t="s">
        <v>371</v>
      </c>
      <c r="E318" s="94" t="s">
        <v>509</v>
      </c>
      <c r="F318" s="143" t="s">
        <v>1303</v>
      </c>
      <c r="G318" s="98">
        <v>6</v>
      </c>
      <c r="H318" s="99">
        <v>7</v>
      </c>
      <c r="I318" s="98">
        <v>5</v>
      </c>
      <c r="J318" s="98">
        <v>6</v>
      </c>
      <c r="K318" s="98"/>
      <c r="L318" s="100">
        <f t="shared" si="6"/>
        <v>5.9</v>
      </c>
      <c r="M318" s="101" t="s">
        <v>1329</v>
      </c>
      <c r="N318" s="92"/>
      <c r="O318" s="65"/>
      <c r="P318" s="65"/>
      <c r="Q318" s="65"/>
      <c r="R318" s="65"/>
    </row>
    <row r="319" spans="1:18" s="64" customFormat="1" ht="24.75" customHeight="1">
      <c r="A319" s="94">
        <v>295</v>
      </c>
      <c r="B319" s="95" t="s">
        <v>1160</v>
      </c>
      <c r="C319" s="96" t="s">
        <v>148</v>
      </c>
      <c r="D319" s="97" t="s">
        <v>149</v>
      </c>
      <c r="E319" s="94" t="s">
        <v>504</v>
      </c>
      <c r="F319" s="143" t="s">
        <v>1303</v>
      </c>
      <c r="G319" s="98">
        <v>6</v>
      </c>
      <c r="H319" s="99">
        <v>7</v>
      </c>
      <c r="I319" s="98">
        <v>5</v>
      </c>
      <c r="J319" s="98">
        <v>7</v>
      </c>
      <c r="K319" s="98"/>
      <c r="L319" s="100">
        <f t="shared" si="6"/>
        <v>6.5</v>
      </c>
      <c r="M319" s="101" t="s">
        <v>1329</v>
      </c>
      <c r="N319" s="92"/>
      <c r="O319" s="65"/>
      <c r="P319" s="65"/>
      <c r="Q319" s="65"/>
      <c r="R319" s="65"/>
    </row>
    <row r="320" spans="1:14" s="65" customFormat="1" ht="24.75" customHeight="1">
      <c r="A320" s="112">
        <v>296</v>
      </c>
      <c r="B320" s="95" t="s">
        <v>1161</v>
      </c>
      <c r="C320" s="96" t="s">
        <v>155</v>
      </c>
      <c r="D320" s="97" t="s">
        <v>48</v>
      </c>
      <c r="E320" s="112" t="s">
        <v>518</v>
      </c>
      <c r="F320" s="143" t="s">
        <v>1303</v>
      </c>
      <c r="G320" s="99">
        <v>7</v>
      </c>
      <c r="H320" s="99">
        <v>7</v>
      </c>
      <c r="I320" s="99">
        <v>6.5</v>
      </c>
      <c r="J320" s="99">
        <v>6</v>
      </c>
      <c r="K320" s="99"/>
      <c r="L320" s="100">
        <f t="shared" si="6"/>
        <v>6.3</v>
      </c>
      <c r="M320" s="113" t="s">
        <v>1329</v>
      </c>
      <c r="N320" s="92"/>
    </row>
    <row r="321" spans="1:18" s="64" customFormat="1" ht="24.75" customHeight="1">
      <c r="A321" s="94">
        <v>297</v>
      </c>
      <c r="B321" s="95" t="s">
        <v>1162</v>
      </c>
      <c r="C321" s="117" t="s">
        <v>157</v>
      </c>
      <c r="D321" s="118" t="s">
        <v>241</v>
      </c>
      <c r="E321" s="94" t="s">
        <v>534</v>
      </c>
      <c r="F321" s="143" t="s">
        <v>1303</v>
      </c>
      <c r="G321" s="98">
        <v>6</v>
      </c>
      <c r="H321" s="99">
        <v>8</v>
      </c>
      <c r="I321" s="98">
        <v>4</v>
      </c>
      <c r="J321" s="98">
        <v>8</v>
      </c>
      <c r="K321" s="98"/>
      <c r="L321" s="100">
        <f t="shared" si="6"/>
        <v>7</v>
      </c>
      <c r="M321" s="101" t="s">
        <v>1329</v>
      </c>
      <c r="N321" s="92"/>
      <c r="O321" s="65"/>
      <c r="P321" s="65"/>
      <c r="Q321" s="65"/>
      <c r="R321" s="65"/>
    </row>
    <row r="322" spans="1:18" s="68" customFormat="1" ht="24.75" customHeight="1">
      <c r="A322" s="94">
        <v>298</v>
      </c>
      <c r="B322" s="95" t="s">
        <v>1163</v>
      </c>
      <c r="C322" s="117" t="s">
        <v>318</v>
      </c>
      <c r="D322" s="118" t="s">
        <v>54</v>
      </c>
      <c r="E322" s="94" t="s">
        <v>780</v>
      </c>
      <c r="F322" s="143" t="s">
        <v>1303</v>
      </c>
      <c r="G322" s="98">
        <v>6</v>
      </c>
      <c r="H322" s="99">
        <v>7</v>
      </c>
      <c r="I322" s="98">
        <v>5.5</v>
      </c>
      <c r="J322" s="98">
        <v>5</v>
      </c>
      <c r="K322" s="98"/>
      <c r="L322" s="100">
        <f t="shared" si="6"/>
        <v>5.4</v>
      </c>
      <c r="M322" s="101" t="s">
        <v>1329</v>
      </c>
      <c r="N322" s="92"/>
      <c r="O322" s="65"/>
      <c r="P322" s="65"/>
      <c r="Q322" s="65"/>
      <c r="R322" s="65"/>
    </row>
    <row r="323" spans="1:18" s="68" customFormat="1" ht="24.75" customHeight="1">
      <c r="A323" s="94">
        <v>299</v>
      </c>
      <c r="B323" s="95" t="s">
        <v>1164</v>
      </c>
      <c r="C323" s="96" t="s">
        <v>155</v>
      </c>
      <c r="D323" s="97" t="s">
        <v>58</v>
      </c>
      <c r="E323" s="94" t="s">
        <v>517</v>
      </c>
      <c r="F323" s="143" t="s">
        <v>1303</v>
      </c>
      <c r="G323" s="98">
        <v>7</v>
      </c>
      <c r="H323" s="99">
        <v>8</v>
      </c>
      <c r="I323" s="98">
        <v>6.5</v>
      </c>
      <c r="J323" s="98">
        <v>7</v>
      </c>
      <c r="K323" s="98"/>
      <c r="L323" s="100">
        <f t="shared" si="6"/>
        <v>7</v>
      </c>
      <c r="M323" s="101" t="s">
        <v>1329</v>
      </c>
      <c r="N323" s="92"/>
      <c r="O323" s="65"/>
      <c r="P323" s="65"/>
      <c r="Q323" s="65"/>
      <c r="R323" s="65"/>
    </row>
    <row r="324" spans="1:18" s="64" customFormat="1" ht="24.75" customHeight="1">
      <c r="A324" s="94">
        <v>300</v>
      </c>
      <c r="B324" s="95" t="s">
        <v>1165</v>
      </c>
      <c r="C324" s="96" t="s">
        <v>151</v>
      </c>
      <c r="D324" s="97" t="s">
        <v>88</v>
      </c>
      <c r="E324" s="94" t="s">
        <v>510</v>
      </c>
      <c r="F324" s="143" t="s">
        <v>1303</v>
      </c>
      <c r="G324" s="98">
        <v>6</v>
      </c>
      <c r="H324" s="99">
        <v>6</v>
      </c>
      <c r="I324" s="98">
        <v>5</v>
      </c>
      <c r="J324" s="98">
        <v>7</v>
      </c>
      <c r="K324" s="98"/>
      <c r="L324" s="100">
        <f t="shared" si="6"/>
        <v>6.4</v>
      </c>
      <c r="M324" s="101" t="s">
        <v>1329</v>
      </c>
      <c r="N324" s="92"/>
      <c r="O324" s="65"/>
      <c r="P324" s="65"/>
      <c r="Q324" s="65"/>
      <c r="R324" s="65"/>
    </row>
    <row r="325" spans="1:18" s="64" customFormat="1" ht="24.75" customHeight="1">
      <c r="A325" s="94">
        <v>301</v>
      </c>
      <c r="B325" s="95" t="s">
        <v>1166</v>
      </c>
      <c r="C325" s="96" t="s">
        <v>152</v>
      </c>
      <c r="D325" s="97" t="s">
        <v>113</v>
      </c>
      <c r="E325" s="94" t="s">
        <v>511</v>
      </c>
      <c r="F325" s="143" t="s">
        <v>1303</v>
      </c>
      <c r="G325" s="98">
        <v>6</v>
      </c>
      <c r="H325" s="99">
        <v>7</v>
      </c>
      <c r="I325" s="98">
        <v>5.5</v>
      </c>
      <c r="J325" s="98">
        <v>7</v>
      </c>
      <c r="K325" s="98"/>
      <c r="L325" s="100">
        <f t="shared" si="6"/>
        <v>6.6</v>
      </c>
      <c r="M325" s="101" t="s">
        <v>1329</v>
      </c>
      <c r="N325" s="92"/>
      <c r="O325" s="65"/>
      <c r="P325" s="65"/>
      <c r="Q325" s="65"/>
      <c r="R325" s="65"/>
    </row>
    <row r="326" spans="1:18" s="66" customFormat="1" ht="24.75" customHeight="1">
      <c r="A326" s="114">
        <v>302</v>
      </c>
      <c r="B326" s="105" t="s">
        <v>1167</v>
      </c>
      <c r="C326" s="106" t="s">
        <v>862</v>
      </c>
      <c r="D326" s="107" t="s">
        <v>132</v>
      </c>
      <c r="E326" s="114" t="s">
        <v>515</v>
      </c>
      <c r="F326" s="144" t="s">
        <v>1303</v>
      </c>
      <c r="G326" s="115"/>
      <c r="H326" s="108"/>
      <c r="I326" s="115"/>
      <c r="J326" s="115"/>
      <c r="K326" s="115"/>
      <c r="L326" s="109">
        <f t="shared" si="6"/>
        <v>0</v>
      </c>
      <c r="M326" s="116" t="s">
        <v>1329</v>
      </c>
      <c r="N326" s="111" t="s">
        <v>1359</v>
      </c>
      <c r="O326" s="79"/>
      <c r="P326" s="79"/>
      <c r="Q326" s="79"/>
      <c r="R326" s="79"/>
    </row>
    <row r="327" spans="1:18" s="64" customFormat="1" ht="24.75" customHeight="1">
      <c r="A327" s="94">
        <v>303</v>
      </c>
      <c r="B327" s="95" t="s">
        <v>1168</v>
      </c>
      <c r="C327" s="96" t="s">
        <v>377</v>
      </c>
      <c r="D327" s="97" t="s">
        <v>110</v>
      </c>
      <c r="E327" s="94" t="s">
        <v>519</v>
      </c>
      <c r="F327" s="143" t="s">
        <v>1303</v>
      </c>
      <c r="G327" s="98">
        <v>6</v>
      </c>
      <c r="H327" s="99">
        <v>8</v>
      </c>
      <c r="I327" s="98">
        <v>6</v>
      </c>
      <c r="J327" s="98">
        <v>7</v>
      </c>
      <c r="K327" s="98"/>
      <c r="L327" s="100">
        <f t="shared" si="6"/>
        <v>6.8</v>
      </c>
      <c r="M327" s="101" t="s">
        <v>1329</v>
      </c>
      <c r="N327" s="92"/>
      <c r="O327" s="65"/>
      <c r="P327" s="65"/>
      <c r="Q327" s="65"/>
      <c r="R327" s="65"/>
    </row>
    <row r="328" spans="1:18" s="64" customFormat="1" ht="24.75" customHeight="1">
      <c r="A328" s="94">
        <v>304</v>
      </c>
      <c r="B328" s="95" t="s">
        <v>1169</v>
      </c>
      <c r="C328" s="96" t="s">
        <v>374</v>
      </c>
      <c r="D328" s="97" t="s">
        <v>110</v>
      </c>
      <c r="E328" s="94" t="s">
        <v>513</v>
      </c>
      <c r="F328" s="143" t="s">
        <v>1303</v>
      </c>
      <c r="G328" s="98">
        <v>9</v>
      </c>
      <c r="H328" s="99">
        <v>7</v>
      </c>
      <c r="I328" s="98">
        <v>6.5</v>
      </c>
      <c r="J328" s="98">
        <v>6</v>
      </c>
      <c r="K328" s="98"/>
      <c r="L328" s="100">
        <f t="shared" si="6"/>
        <v>6.5</v>
      </c>
      <c r="M328" s="101" t="s">
        <v>1329</v>
      </c>
      <c r="N328" s="92"/>
      <c r="O328" s="65"/>
      <c r="P328" s="65"/>
      <c r="Q328" s="65"/>
      <c r="R328" s="65"/>
    </row>
    <row r="329" spans="1:18" s="68" customFormat="1" ht="24.75" customHeight="1">
      <c r="A329" s="94">
        <v>305</v>
      </c>
      <c r="B329" s="95" t="s">
        <v>1170</v>
      </c>
      <c r="C329" s="96" t="s">
        <v>369</v>
      </c>
      <c r="D329" s="97" t="s">
        <v>110</v>
      </c>
      <c r="E329" s="94" t="s">
        <v>508</v>
      </c>
      <c r="F329" s="143" t="s">
        <v>1303</v>
      </c>
      <c r="G329" s="98">
        <v>7</v>
      </c>
      <c r="H329" s="99">
        <v>8</v>
      </c>
      <c r="I329" s="98">
        <v>8.5</v>
      </c>
      <c r="J329" s="98">
        <v>7</v>
      </c>
      <c r="K329" s="98"/>
      <c r="L329" s="100">
        <f t="shared" si="6"/>
        <v>7.4</v>
      </c>
      <c r="M329" s="101" t="s">
        <v>1329</v>
      </c>
      <c r="N329" s="92"/>
      <c r="O329" s="65"/>
      <c r="P329" s="65"/>
      <c r="Q329" s="65"/>
      <c r="R329" s="65"/>
    </row>
    <row r="330" spans="1:18" s="68" customFormat="1" ht="24.75" customHeight="1">
      <c r="A330" s="94">
        <v>306</v>
      </c>
      <c r="B330" s="95" t="s">
        <v>1171</v>
      </c>
      <c r="C330" s="96" t="s">
        <v>376</v>
      </c>
      <c r="D330" s="97" t="s">
        <v>154</v>
      </c>
      <c r="E330" s="94" t="s">
        <v>516</v>
      </c>
      <c r="F330" s="143" t="s">
        <v>1303</v>
      </c>
      <c r="G330" s="98">
        <v>6</v>
      </c>
      <c r="H330" s="99">
        <v>7</v>
      </c>
      <c r="I330" s="98">
        <v>6</v>
      </c>
      <c r="J330" s="98">
        <v>7</v>
      </c>
      <c r="K330" s="98"/>
      <c r="L330" s="100">
        <f t="shared" si="6"/>
        <v>6.7</v>
      </c>
      <c r="M330" s="101" t="s">
        <v>1329</v>
      </c>
      <c r="N330" s="92"/>
      <c r="O330" s="65"/>
      <c r="P330" s="65"/>
      <c r="Q330" s="65"/>
      <c r="R330" s="65"/>
    </row>
    <row r="331" spans="1:18" s="64" customFormat="1" ht="24.75" customHeight="1">
      <c r="A331" s="94">
        <v>307</v>
      </c>
      <c r="B331" s="95" t="s">
        <v>1172</v>
      </c>
      <c r="C331" s="96" t="s">
        <v>372</v>
      </c>
      <c r="D331" s="97" t="s">
        <v>373</v>
      </c>
      <c r="E331" s="94" t="s">
        <v>512</v>
      </c>
      <c r="F331" s="143" t="s">
        <v>1303</v>
      </c>
      <c r="G331" s="98">
        <v>6</v>
      </c>
      <c r="H331" s="99">
        <v>6</v>
      </c>
      <c r="I331" s="98">
        <v>6</v>
      </c>
      <c r="J331" s="98">
        <v>7</v>
      </c>
      <c r="K331" s="98"/>
      <c r="L331" s="100">
        <f t="shared" si="6"/>
        <v>6.6</v>
      </c>
      <c r="M331" s="101" t="s">
        <v>1329</v>
      </c>
      <c r="N331" s="92"/>
      <c r="O331" s="65"/>
      <c r="P331" s="65"/>
      <c r="Q331" s="65"/>
      <c r="R331" s="65"/>
    </row>
    <row r="332" spans="1:18" s="64" customFormat="1" ht="24.75" customHeight="1">
      <c r="A332" s="94">
        <v>308</v>
      </c>
      <c r="B332" s="95" t="s">
        <v>1173</v>
      </c>
      <c r="C332" s="96" t="s">
        <v>145</v>
      </c>
      <c r="D332" s="97" t="s">
        <v>146</v>
      </c>
      <c r="E332" s="94" t="s">
        <v>501</v>
      </c>
      <c r="F332" s="143" t="s">
        <v>1303</v>
      </c>
      <c r="G332" s="98">
        <v>6</v>
      </c>
      <c r="H332" s="99">
        <v>6</v>
      </c>
      <c r="I332" s="98">
        <v>6</v>
      </c>
      <c r="J332" s="98">
        <v>5</v>
      </c>
      <c r="K332" s="98"/>
      <c r="L332" s="100">
        <f t="shared" si="6"/>
        <v>5.4</v>
      </c>
      <c r="M332" s="101" t="s">
        <v>1329</v>
      </c>
      <c r="N332" s="92"/>
      <c r="O332" s="65"/>
      <c r="P332" s="65"/>
      <c r="Q332" s="65"/>
      <c r="R332" s="65"/>
    </row>
    <row r="333" spans="1:18" s="64" customFormat="1" ht="24.75" customHeight="1">
      <c r="A333" s="94">
        <v>309</v>
      </c>
      <c r="B333" s="95" t="s">
        <v>1174</v>
      </c>
      <c r="C333" s="96" t="s">
        <v>50</v>
      </c>
      <c r="D333" s="97" t="s">
        <v>112</v>
      </c>
      <c r="E333" s="94" t="s">
        <v>507</v>
      </c>
      <c r="F333" s="143" t="s">
        <v>1303</v>
      </c>
      <c r="G333" s="98">
        <v>6</v>
      </c>
      <c r="H333" s="99">
        <v>6</v>
      </c>
      <c r="I333" s="98">
        <v>5.5</v>
      </c>
      <c r="J333" s="98">
        <v>7</v>
      </c>
      <c r="K333" s="98"/>
      <c r="L333" s="100">
        <f t="shared" si="6"/>
        <v>6.5</v>
      </c>
      <c r="M333" s="101" t="s">
        <v>1329</v>
      </c>
      <c r="N333" s="92"/>
      <c r="O333" s="65"/>
      <c r="P333" s="65"/>
      <c r="Q333" s="65"/>
      <c r="R333" s="65"/>
    </row>
    <row r="334" spans="1:18" s="64" customFormat="1" ht="24.75" customHeight="1">
      <c r="A334" s="94">
        <v>310</v>
      </c>
      <c r="B334" s="95" t="s">
        <v>1175</v>
      </c>
      <c r="C334" s="96" t="s">
        <v>367</v>
      </c>
      <c r="D334" s="97" t="s">
        <v>100</v>
      </c>
      <c r="E334" s="94" t="s">
        <v>505</v>
      </c>
      <c r="F334" s="143" t="s">
        <v>1303</v>
      </c>
      <c r="G334" s="98">
        <v>6</v>
      </c>
      <c r="H334" s="99">
        <v>7</v>
      </c>
      <c r="I334" s="98">
        <v>5</v>
      </c>
      <c r="J334" s="98">
        <v>0</v>
      </c>
      <c r="K334" s="98"/>
      <c r="L334" s="100">
        <f t="shared" si="6"/>
        <v>2.3</v>
      </c>
      <c r="M334" s="101" t="s">
        <v>1329</v>
      </c>
      <c r="N334" s="92" t="s">
        <v>1360</v>
      </c>
      <c r="O334" s="65"/>
      <c r="P334" s="65"/>
      <c r="Q334" s="65"/>
      <c r="R334" s="65"/>
    </row>
    <row r="335" spans="1:18" s="64" customFormat="1" ht="24.75" customHeight="1">
      <c r="A335" s="94">
        <v>311</v>
      </c>
      <c r="B335" s="95" t="s">
        <v>1176</v>
      </c>
      <c r="C335" s="96" t="s">
        <v>375</v>
      </c>
      <c r="D335" s="97" t="s">
        <v>153</v>
      </c>
      <c r="E335" s="94" t="s">
        <v>514</v>
      </c>
      <c r="F335" s="143" t="s">
        <v>1303</v>
      </c>
      <c r="G335" s="98">
        <v>6</v>
      </c>
      <c r="H335" s="99">
        <v>7</v>
      </c>
      <c r="I335" s="98">
        <v>5</v>
      </c>
      <c r="J335" s="98">
        <v>5</v>
      </c>
      <c r="K335" s="98"/>
      <c r="L335" s="100">
        <f t="shared" si="6"/>
        <v>5.3</v>
      </c>
      <c r="M335" s="101" t="s">
        <v>1329</v>
      </c>
      <c r="N335" s="92"/>
      <c r="O335" s="65"/>
      <c r="P335" s="65"/>
      <c r="Q335" s="65"/>
      <c r="R335" s="65"/>
    </row>
    <row r="336" spans="1:18" s="64" customFormat="1" ht="24.75" customHeight="1">
      <c r="A336" s="94">
        <v>312</v>
      </c>
      <c r="B336" s="95" t="s">
        <v>1177</v>
      </c>
      <c r="C336" s="117" t="s">
        <v>216</v>
      </c>
      <c r="D336" s="118" t="s">
        <v>116</v>
      </c>
      <c r="E336" s="94" t="s">
        <v>744</v>
      </c>
      <c r="F336" s="143" t="s">
        <v>1304</v>
      </c>
      <c r="G336" s="98">
        <v>7</v>
      </c>
      <c r="H336" s="99">
        <v>6</v>
      </c>
      <c r="I336" s="98">
        <v>6.5</v>
      </c>
      <c r="J336" s="98">
        <v>9</v>
      </c>
      <c r="K336" s="98"/>
      <c r="L336" s="100">
        <f t="shared" si="6"/>
        <v>8</v>
      </c>
      <c r="M336" s="101" t="s">
        <v>1330</v>
      </c>
      <c r="N336" s="92"/>
      <c r="O336" s="65"/>
      <c r="P336" s="65"/>
      <c r="Q336" s="65"/>
      <c r="R336" s="65"/>
    </row>
    <row r="337" spans="1:18" s="64" customFormat="1" ht="24.75" customHeight="1">
      <c r="A337" s="94">
        <v>313</v>
      </c>
      <c r="B337" s="95" t="s">
        <v>1178</v>
      </c>
      <c r="C337" s="117" t="s">
        <v>287</v>
      </c>
      <c r="D337" s="118" t="s">
        <v>288</v>
      </c>
      <c r="E337" s="94" t="s">
        <v>738</v>
      </c>
      <c r="F337" s="143" t="s">
        <v>1304</v>
      </c>
      <c r="G337" s="98">
        <v>7</v>
      </c>
      <c r="H337" s="99">
        <v>7</v>
      </c>
      <c r="I337" s="98">
        <v>7</v>
      </c>
      <c r="J337" s="98">
        <v>6</v>
      </c>
      <c r="K337" s="98"/>
      <c r="L337" s="100">
        <f t="shared" si="6"/>
        <v>6.4</v>
      </c>
      <c r="M337" s="101" t="s">
        <v>857</v>
      </c>
      <c r="N337" s="92"/>
      <c r="O337" s="65"/>
      <c r="P337" s="65"/>
      <c r="Q337" s="65"/>
      <c r="R337" s="65"/>
    </row>
    <row r="338" spans="1:18" s="64" customFormat="1" ht="24.75" customHeight="1">
      <c r="A338" s="94">
        <v>314</v>
      </c>
      <c r="B338" s="95" t="s">
        <v>1179</v>
      </c>
      <c r="C338" s="117" t="s">
        <v>432</v>
      </c>
      <c r="D338" s="118" t="s">
        <v>433</v>
      </c>
      <c r="E338" s="94" t="s">
        <v>740</v>
      </c>
      <c r="F338" s="143" t="s">
        <v>1304</v>
      </c>
      <c r="G338" s="98">
        <v>6</v>
      </c>
      <c r="H338" s="99">
        <v>8</v>
      </c>
      <c r="I338" s="98">
        <v>6</v>
      </c>
      <c r="J338" s="98">
        <v>5</v>
      </c>
      <c r="K338" s="98"/>
      <c r="L338" s="100">
        <f t="shared" si="6"/>
        <v>5.6</v>
      </c>
      <c r="M338" s="101" t="s">
        <v>857</v>
      </c>
      <c r="N338" s="92"/>
      <c r="O338" s="65"/>
      <c r="P338" s="65"/>
      <c r="Q338" s="65"/>
      <c r="R338" s="65"/>
    </row>
    <row r="339" spans="1:14" s="79" customFormat="1" ht="24.75" customHeight="1">
      <c r="A339" s="104">
        <v>315</v>
      </c>
      <c r="B339" s="105" t="s">
        <v>1180</v>
      </c>
      <c r="C339" s="131" t="s">
        <v>69</v>
      </c>
      <c r="D339" s="132" t="s">
        <v>158</v>
      </c>
      <c r="E339" s="104" t="s">
        <v>726</v>
      </c>
      <c r="F339" s="144" t="s">
        <v>1304</v>
      </c>
      <c r="G339" s="108"/>
      <c r="H339" s="108"/>
      <c r="I339" s="108"/>
      <c r="J339" s="108"/>
      <c r="K339" s="108"/>
      <c r="L339" s="109">
        <f t="shared" si="6"/>
        <v>0</v>
      </c>
      <c r="M339" s="110" t="s">
        <v>857</v>
      </c>
      <c r="N339" s="111" t="s">
        <v>1346</v>
      </c>
    </row>
    <row r="340" spans="1:18" s="64" customFormat="1" ht="24.75" customHeight="1">
      <c r="A340" s="94">
        <v>316</v>
      </c>
      <c r="B340" s="95" t="s">
        <v>1181</v>
      </c>
      <c r="C340" s="117" t="s">
        <v>289</v>
      </c>
      <c r="D340" s="118" t="s">
        <v>290</v>
      </c>
      <c r="E340" s="94" t="s">
        <v>739</v>
      </c>
      <c r="F340" s="143" t="s">
        <v>1304</v>
      </c>
      <c r="G340" s="98">
        <v>6</v>
      </c>
      <c r="H340" s="99">
        <v>8</v>
      </c>
      <c r="I340" s="98">
        <v>6</v>
      </c>
      <c r="J340" s="98">
        <v>8</v>
      </c>
      <c r="K340" s="98"/>
      <c r="L340" s="100">
        <f t="shared" si="6"/>
        <v>7.4</v>
      </c>
      <c r="M340" s="101" t="s">
        <v>857</v>
      </c>
      <c r="N340" s="92"/>
      <c r="O340" s="65"/>
      <c r="P340" s="65"/>
      <c r="Q340" s="65"/>
      <c r="R340" s="65"/>
    </row>
    <row r="341" spans="1:18" s="66" customFormat="1" ht="24.75" customHeight="1">
      <c r="A341" s="114">
        <v>317</v>
      </c>
      <c r="B341" s="105" t="s">
        <v>1182</v>
      </c>
      <c r="C341" s="119" t="s">
        <v>61</v>
      </c>
      <c r="D341" s="120" t="s">
        <v>49</v>
      </c>
      <c r="E341" s="114" t="s">
        <v>797</v>
      </c>
      <c r="F341" s="144" t="s">
        <v>1304</v>
      </c>
      <c r="G341" s="115"/>
      <c r="H341" s="108"/>
      <c r="I341" s="115"/>
      <c r="J341" s="115"/>
      <c r="K341" s="115"/>
      <c r="L341" s="109">
        <f t="shared" si="6"/>
        <v>0</v>
      </c>
      <c r="M341" s="116" t="s">
        <v>857</v>
      </c>
      <c r="N341" s="111" t="s">
        <v>1361</v>
      </c>
      <c r="O341" s="79"/>
      <c r="P341" s="79"/>
      <c r="Q341" s="79"/>
      <c r="R341" s="79"/>
    </row>
    <row r="342" spans="1:18" s="64" customFormat="1" ht="24.75" customHeight="1">
      <c r="A342" s="94">
        <v>318</v>
      </c>
      <c r="B342" s="95" t="s">
        <v>1183</v>
      </c>
      <c r="C342" s="117" t="s">
        <v>214</v>
      </c>
      <c r="D342" s="118" t="s">
        <v>241</v>
      </c>
      <c r="E342" s="94" t="s">
        <v>737</v>
      </c>
      <c r="F342" s="143" t="s">
        <v>1304</v>
      </c>
      <c r="G342" s="98">
        <v>6</v>
      </c>
      <c r="H342" s="99">
        <v>8</v>
      </c>
      <c r="I342" s="98">
        <v>5</v>
      </c>
      <c r="J342" s="98">
        <v>8</v>
      </c>
      <c r="K342" s="98"/>
      <c r="L342" s="100">
        <f t="shared" si="6"/>
        <v>7.2</v>
      </c>
      <c r="M342" s="101" t="s">
        <v>857</v>
      </c>
      <c r="N342" s="92"/>
      <c r="O342" s="65"/>
      <c r="P342" s="65"/>
      <c r="Q342" s="65"/>
      <c r="R342" s="65"/>
    </row>
    <row r="343" spans="1:18" s="64" customFormat="1" ht="24.75" customHeight="1">
      <c r="A343" s="94">
        <v>319</v>
      </c>
      <c r="B343" s="95" t="s">
        <v>1184</v>
      </c>
      <c r="C343" s="117" t="s">
        <v>431</v>
      </c>
      <c r="D343" s="118" t="s">
        <v>241</v>
      </c>
      <c r="E343" s="94" t="s">
        <v>735</v>
      </c>
      <c r="F343" s="143" t="s">
        <v>1304</v>
      </c>
      <c r="G343" s="98">
        <v>7</v>
      </c>
      <c r="H343" s="99">
        <v>8</v>
      </c>
      <c r="I343" s="98">
        <v>7</v>
      </c>
      <c r="J343" s="98">
        <v>7</v>
      </c>
      <c r="K343" s="98"/>
      <c r="L343" s="100">
        <f t="shared" si="6"/>
        <v>7.1</v>
      </c>
      <c r="M343" s="101" t="s">
        <v>857</v>
      </c>
      <c r="N343" s="92"/>
      <c r="O343" s="65"/>
      <c r="P343" s="65"/>
      <c r="Q343" s="65"/>
      <c r="R343" s="65"/>
    </row>
    <row r="344" spans="1:18" s="64" customFormat="1" ht="24.75" customHeight="1">
      <c r="A344" s="94">
        <v>320</v>
      </c>
      <c r="B344" s="95" t="s">
        <v>1185</v>
      </c>
      <c r="C344" s="117" t="s">
        <v>52</v>
      </c>
      <c r="D344" s="118" t="s">
        <v>282</v>
      </c>
      <c r="E344" s="94" t="s">
        <v>731</v>
      </c>
      <c r="F344" s="143" t="s">
        <v>1304</v>
      </c>
      <c r="G344" s="98">
        <v>6</v>
      </c>
      <c r="H344" s="99">
        <v>7</v>
      </c>
      <c r="I344" s="98">
        <v>6</v>
      </c>
      <c r="J344" s="98">
        <v>7</v>
      </c>
      <c r="K344" s="98"/>
      <c r="L344" s="100">
        <f t="shared" si="6"/>
        <v>6.7</v>
      </c>
      <c r="M344" s="101" t="s">
        <v>857</v>
      </c>
      <c r="N344" s="92"/>
      <c r="O344" s="65"/>
      <c r="P344" s="65"/>
      <c r="Q344" s="65"/>
      <c r="R344" s="65"/>
    </row>
    <row r="345" spans="1:18" s="64" customFormat="1" ht="24.75" customHeight="1">
      <c r="A345" s="94">
        <v>321</v>
      </c>
      <c r="B345" s="95" t="s">
        <v>1186</v>
      </c>
      <c r="C345" s="117" t="s">
        <v>237</v>
      </c>
      <c r="D345" s="118" t="s">
        <v>56</v>
      </c>
      <c r="E345" s="94" t="s">
        <v>727</v>
      </c>
      <c r="F345" s="143" t="s">
        <v>1304</v>
      </c>
      <c r="G345" s="98">
        <v>8</v>
      </c>
      <c r="H345" s="99">
        <v>8</v>
      </c>
      <c r="I345" s="98">
        <v>8</v>
      </c>
      <c r="J345" s="98">
        <v>6</v>
      </c>
      <c r="K345" s="98"/>
      <c r="L345" s="100">
        <f t="shared" si="6"/>
        <v>6.8</v>
      </c>
      <c r="M345" s="101" t="s">
        <v>857</v>
      </c>
      <c r="N345" s="92"/>
      <c r="O345" s="65"/>
      <c r="P345" s="65"/>
      <c r="Q345" s="65"/>
      <c r="R345" s="65"/>
    </row>
    <row r="346" spans="1:18" s="64" customFormat="1" ht="24.75" customHeight="1">
      <c r="A346" s="94">
        <v>322</v>
      </c>
      <c r="B346" s="95" t="s">
        <v>1187</v>
      </c>
      <c r="C346" s="117" t="s">
        <v>292</v>
      </c>
      <c r="D346" s="118" t="s">
        <v>57</v>
      </c>
      <c r="E346" s="94" t="s">
        <v>745</v>
      </c>
      <c r="F346" s="143" t="s">
        <v>1304</v>
      </c>
      <c r="G346" s="98">
        <v>7</v>
      </c>
      <c r="H346" s="99">
        <v>8</v>
      </c>
      <c r="I346" s="98">
        <v>7</v>
      </c>
      <c r="J346" s="98">
        <v>6</v>
      </c>
      <c r="K346" s="98"/>
      <c r="L346" s="100">
        <f t="shared" si="6"/>
        <v>6.5</v>
      </c>
      <c r="M346" s="101" t="s">
        <v>857</v>
      </c>
      <c r="N346" s="92"/>
      <c r="O346" s="65"/>
      <c r="P346" s="65"/>
      <c r="Q346" s="65"/>
      <c r="R346" s="65"/>
    </row>
    <row r="347" spans="1:18" s="64" customFormat="1" ht="24.75" customHeight="1">
      <c r="A347" s="94">
        <v>323</v>
      </c>
      <c r="B347" s="95" t="s">
        <v>1188</v>
      </c>
      <c r="C347" s="117" t="s">
        <v>443</v>
      </c>
      <c r="D347" s="118" t="s">
        <v>57</v>
      </c>
      <c r="E347" s="94" t="s">
        <v>746</v>
      </c>
      <c r="F347" s="143" t="s">
        <v>1304</v>
      </c>
      <c r="G347" s="98">
        <v>6</v>
      </c>
      <c r="H347" s="99">
        <v>6</v>
      </c>
      <c r="I347" s="98">
        <v>5.5</v>
      </c>
      <c r="J347" s="98">
        <v>7</v>
      </c>
      <c r="K347" s="98"/>
      <c r="L347" s="100">
        <f aca="true" t="shared" si="7" ref="L347:L378">ROUND(G347*$C$11+H347*$C$12+I347*$C$13+J347*$C$14+K347*$C$15,1)</f>
        <v>6.5</v>
      </c>
      <c r="M347" s="101" t="s">
        <v>857</v>
      </c>
      <c r="N347" s="92"/>
      <c r="O347" s="65"/>
      <c r="P347" s="65"/>
      <c r="Q347" s="65"/>
      <c r="R347" s="65"/>
    </row>
    <row r="348" spans="1:18" s="64" customFormat="1" ht="24.75" customHeight="1">
      <c r="A348" s="94">
        <v>324</v>
      </c>
      <c r="B348" s="95" t="s">
        <v>1189</v>
      </c>
      <c r="C348" s="117" t="s">
        <v>41</v>
      </c>
      <c r="D348" s="118" t="s">
        <v>286</v>
      </c>
      <c r="E348" s="94" t="s">
        <v>636</v>
      </c>
      <c r="F348" s="143" t="s">
        <v>1304</v>
      </c>
      <c r="G348" s="98">
        <v>8</v>
      </c>
      <c r="H348" s="99">
        <v>8</v>
      </c>
      <c r="I348" s="98">
        <v>7.5</v>
      </c>
      <c r="J348" s="98">
        <v>5</v>
      </c>
      <c r="K348" s="98"/>
      <c r="L348" s="100">
        <f t="shared" si="7"/>
        <v>6.1</v>
      </c>
      <c r="M348" s="101" t="s">
        <v>857</v>
      </c>
      <c r="N348" s="92"/>
      <c r="O348" s="65"/>
      <c r="P348" s="65"/>
      <c r="Q348" s="65"/>
      <c r="R348" s="65"/>
    </row>
    <row r="349" spans="1:18" s="64" customFormat="1" ht="24.75" customHeight="1">
      <c r="A349" s="94">
        <v>325</v>
      </c>
      <c r="B349" s="95" t="s">
        <v>1190</v>
      </c>
      <c r="C349" s="117" t="s">
        <v>319</v>
      </c>
      <c r="D349" s="118" t="s">
        <v>62</v>
      </c>
      <c r="E349" s="94" t="s">
        <v>781</v>
      </c>
      <c r="F349" s="143" t="s">
        <v>1304</v>
      </c>
      <c r="G349" s="98">
        <v>7</v>
      </c>
      <c r="H349" s="99">
        <v>8</v>
      </c>
      <c r="I349" s="98">
        <v>7</v>
      </c>
      <c r="J349" s="98">
        <v>6</v>
      </c>
      <c r="K349" s="98"/>
      <c r="L349" s="100">
        <f t="shared" si="7"/>
        <v>6.5</v>
      </c>
      <c r="M349" s="101" t="s">
        <v>857</v>
      </c>
      <c r="N349" s="92"/>
      <c r="O349" s="65"/>
      <c r="P349" s="65"/>
      <c r="Q349" s="65"/>
      <c r="R349" s="65"/>
    </row>
    <row r="350" spans="1:18" s="64" customFormat="1" ht="24.75" customHeight="1">
      <c r="A350" s="94">
        <v>326</v>
      </c>
      <c r="B350" s="95" t="s">
        <v>1191</v>
      </c>
      <c r="C350" s="117" t="s">
        <v>291</v>
      </c>
      <c r="D350" s="118" t="s">
        <v>62</v>
      </c>
      <c r="E350" s="94" t="s">
        <v>743</v>
      </c>
      <c r="F350" s="143" t="s">
        <v>1304</v>
      </c>
      <c r="G350" s="98">
        <v>6</v>
      </c>
      <c r="H350" s="99">
        <v>7</v>
      </c>
      <c r="I350" s="98">
        <v>7</v>
      </c>
      <c r="J350" s="98">
        <v>5</v>
      </c>
      <c r="K350" s="98"/>
      <c r="L350" s="100">
        <f t="shared" si="7"/>
        <v>5.7</v>
      </c>
      <c r="M350" s="101" t="s">
        <v>857</v>
      </c>
      <c r="N350" s="92"/>
      <c r="O350" s="65"/>
      <c r="P350" s="65"/>
      <c r="Q350" s="65"/>
      <c r="R350" s="65"/>
    </row>
    <row r="351" spans="1:18" s="64" customFormat="1" ht="24.75" customHeight="1">
      <c r="A351" s="94">
        <v>327</v>
      </c>
      <c r="B351" s="95" t="s">
        <v>1192</v>
      </c>
      <c r="C351" s="117" t="s">
        <v>281</v>
      </c>
      <c r="D351" s="118" t="s">
        <v>110</v>
      </c>
      <c r="E351" s="94" t="s">
        <v>728</v>
      </c>
      <c r="F351" s="143" t="s">
        <v>1304</v>
      </c>
      <c r="G351" s="98">
        <v>6</v>
      </c>
      <c r="H351" s="99">
        <v>8</v>
      </c>
      <c r="I351" s="98">
        <v>7.5</v>
      </c>
      <c r="J351" s="98">
        <v>5</v>
      </c>
      <c r="K351" s="98"/>
      <c r="L351" s="100">
        <f t="shared" si="7"/>
        <v>5.9</v>
      </c>
      <c r="M351" s="101" t="s">
        <v>857</v>
      </c>
      <c r="N351" s="92"/>
      <c r="O351" s="65"/>
      <c r="P351" s="65"/>
      <c r="Q351" s="65"/>
      <c r="R351" s="65"/>
    </row>
    <row r="352" spans="1:18" s="64" customFormat="1" ht="24.75" customHeight="1">
      <c r="A352" s="94">
        <v>328</v>
      </c>
      <c r="B352" s="95" t="s">
        <v>1193</v>
      </c>
      <c r="C352" s="117" t="s">
        <v>269</v>
      </c>
      <c r="D352" s="118" t="s">
        <v>184</v>
      </c>
      <c r="E352" s="94" t="s">
        <v>742</v>
      </c>
      <c r="F352" s="143" t="s">
        <v>1304</v>
      </c>
      <c r="G352" s="98">
        <v>6</v>
      </c>
      <c r="H352" s="99">
        <v>7</v>
      </c>
      <c r="I352" s="98">
        <v>6</v>
      </c>
      <c r="J352" s="98">
        <v>7</v>
      </c>
      <c r="K352" s="98"/>
      <c r="L352" s="100">
        <f t="shared" si="7"/>
        <v>6.7</v>
      </c>
      <c r="M352" s="101" t="s">
        <v>857</v>
      </c>
      <c r="N352" s="92"/>
      <c r="O352" s="65"/>
      <c r="P352" s="65"/>
      <c r="Q352" s="65"/>
      <c r="R352" s="65"/>
    </row>
    <row r="353" spans="1:18" s="64" customFormat="1" ht="24.75" customHeight="1">
      <c r="A353" s="94">
        <v>329</v>
      </c>
      <c r="B353" s="95" t="s">
        <v>1194</v>
      </c>
      <c r="C353" s="117" t="s">
        <v>284</v>
      </c>
      <c r="D353" s="118" t="s">
        <v>285</v>
      </c>
      <c r="E353" s="94" t="s">
        <v>736</v>
      </c>
      <c r="F353" s="143" t="s">
        <v>1304</v>
      </c>
      <c r="G353" s="98">
        <v>6</v>
      </c>
      <c r="H353" s="99">
        <v>7</v>
      </c>
      <c r="I353" s="98">
        <v>5</v>
      </c>
      <c r="J353" s="98">
        <v>7</v>
      </c>
      <c r="K353" s="98"/>
      <c r="L353" s="100">
        <f t="shared" si="7"/>
        <v>6.5</v>
      </c>
      <c r="M353" s="101" t="s">
        <v>857</v>
      </c>
      <c r="N353" s="92"/>
      <c r="O353" s="65"/>
      <c r="P353" s="65"/>
      <c r="Q353" s="65"/>
      <c r="R353" s="65"/>
    </row>
    <row r="354" spans="1:18" s="64" customFormat="1" ht="24.75" customHeight="1">
      <c r="A354" s="94">
        <v>330</v>
      </c>
      <c r="B354" s="95" t="s">
        <v>1195</v>
      </c>
      <c r="C354" s="117" t="s">
        <v>147</v>
      </c>
      <c r="D354" s="118" t="s">
        <v>171</v>
      </c>
      <c r="E354" s="94" t="s">
        <v>499</v>
      </c>
      <c r="F354" s="143" t="s">
        <v>1304</v>
      </c>
      <c r="G354" s="128"/>
      <c r="H354" s="99">
        <v>7</v>
      </c>
      <c r="I354" s="98">
        <v>0</v>
      </c>
      <c r="J354" s="98">
        <v>8</v>
      </c>
      <c r="K354" s="98"/>
      <c r="L354" s="100">
        <f t="shared" si="7"/>
        <v>5.5</v>
      </c>
      <c r="M354" s="101" t="s">
        <v>857</v>
      </c>
      <c r="N354" s="92" t="s">
        <v>1362</v>
      </c>
      <c r="O354" s="65"/>
      <c r="P354" s="65"/>
      <c r="Q354" s="65"/>
      <c r="R354" s="65"/>
    </row>
    <row r="355" spans="1:18" s="64" customFormat="1" ht="24.75" customHeight="1">
      <c r="A355" s="94">
        <v>331</v>
      </c>
      <c r="B355" s="95" t="s">
        <v>1196</v>
      </c>
      <c r="C355" s="117" t="s">
        <v>434</v>
      </c>
      <c r="D355" s="118" t="s">
        <v>66</v>
      </c>
      <c r="E355" s="94" t="s">
        <v>741</v>
      </c>
      <c r="F355" s="143" t="s">
        <v>1304</v>
      </c>
      <c r="G355" s="98">
        <v>6</v>
      </c>
      <c r="H355" s="99">
        <v>8</v>
      </c>
      <c r="I355" s="98">
        <v>5</v>
      </c>
      <c r="J355" s="98">
        <v>8</v>
      </c>
      <c r="K355" s="98"/>
      <c r="L355" s="100">
        <f t="shared" si="7"/>
        <v>7.2</v>
      </c>
      <c r="M355" s="101" t="s">
        <v>857</v>
      </c>
      <c r="N355" s="92"/>
      <c r="O355" s="65"/>
      <c r="P355" s="65"/>
      <c r="Q355" s="65"/>
      <c r="R355" s="65"/>
    </row>
    <row r="356" spans="1:18" s="64" customFormat="1" ht="24.75" customHeight="1">
      <c r="A356" s="94">
        <v>332</v>
      </c>
      <c r="B356" s="95" t="s">
        <v>1197</v>
      </c>
      <c r="C356" s="117" t="s">
        <v>247</v>
      </c>
      <c r="D356" s="118" t="s">
        <v>66</v>
      </c>
      <c r="E356" s="94" t="s">
        <v>729</v>
      </c>
      <c r="F356" s="143" t="s">
        <v>1304</v>
      </c>
      <c r="G356" s="98">
        <v>7</v>
      </c>
      <c r="H356" s="99">
        <v>8</v>
      </c>
      <c r="I356" s="98">
        <v>7</v>
      </c>
      <c r="J356" s="98">
        <v>8</v>
      </c>
      <c r="K356" s="98"/>
      <c r="L356" s="100">
        <f t="shared" si="7"/>
        <v>7.7</v>
      </c>
      <c r="M356" s="101" t="s">
        <v>857</v>
      </c>
      <c r="N356" s="92"/>
      <c r="O356" s="65"/>
      <c r="P356" s="65"/>
      <c r="Q356" s="65"/>
      <c r="R356" s="65"/>
    </row>
    <row r="357" spans="1:18" s="64" customFormat="1" ht="24.75" customHeight="1">
      <c r="A357" s="94">
        <v>333</v>
      </c>
      <c r="B357" s="95" t="s">
        <v>1198</v>
      </c>
      <c r="C357" s="117" t="s">
        <v>429</v>
      </c>
      <c r="D357" s="118" t="s">
        <v>283</v>
      </c>
      <c r="E357" s="94" t="s">
        <v>732</v>
      </c>
      <c r="F357" s="143" t="s">
        <v>1304</v>
      </c>
      <c r="G357" s="98">
        <v>6</v>
      </c>
      <c r="H357" s="99">
        <v>8</v>
      </c>
      <c r="I357" s="98">
        <v>5</v>
      </c>
      <c r="J357" s="98">
        <v>6</v>
      </c>
      <c r="K357" s="98"/>
      <c r="L357" s="100">
        <f t="shared" si="7"/>
        <v>6</v>
      </c>
      <c r="M357" s="101" t="s">
        <v>857</v>
      </c>
      <c r="N357" s="92"/>
      <c r="O357" s="65"/>
      <c r="P357" s="65"/>
      <c r="Q357" s="65"/>
      <c r="R357" s="65"/>
    </row>
    <row r="358" spans="1:18" s="64" customFormat="1" ht="24.75" customHeight="1">
      <c r="A358" s="94">
        <v>334</v>
      </c>
      <c r="B358" s="95" t="s">
        <v>1199</v>
      </c>
      <c r="C358" s="117" t="s">
        <v>208</v>
      </c>
      <c r="D358" s="118" t="s">
        <v>67</v>
      </c>
      <c r="E358" s="94" t="s">
        <v>724</v>
      </c>
      <c r="F358" s="143" t="s">
        <v>1304</v>
      </c>
      <c r="G358" s="98">
        <v>6</v>
      </c>
      <c r="H358" s="99">
        <v>7</v>
      </c>
      <c r="I358" s="98">
        <v>5</v>
      </c>
      <c r="J358" s="98">
        <v>8</v>
      </c>
      <c r="K358" s="98"/>
      <c r="L358" s="100">
        <f t="shared" si="7"/>
        <v>7.1</v>
      </c>
      <c r="M358" s="101" t="s">
        <v>857</v>
      </c>
      <c r="N358" s="92"/>
      <c r="O358" s="65"/>
      <c r="P358" s="65"/>
      <c r="Q358" s="65"/>
      <c r="R358" s="65"/>
    </row>
    <row r="359" spans="1:18" s="64" customFormat="1" ht="24.75" customHeight="1">
      <c r="A359" s="94">
        <v>335</v>
      </c>
      <c r="B359" s="95" t="s">
        <v>1200</v>
      </c>
      <c r="C359" s="117" t="s">
        <v>362</v>
      </c>
      <c r="D359" s="118" t="s">
        <v>119</v>
      </c>
      <c r="E359" s="94" t="s">
        <v>733</v>
      </c>
      <c r="F359" s="143" t="s">
        <v>1304</v>
      </c>
      <c r="G359" s="98">
        <v>7</v>
      </c>
      <c r="H359" s="99">
        <v>7</v>
      </c>
      <c r="I359" s="98">
        <v>7</v>
      </c>
      <c r="J359" s="98">
        <v>6</v>
      </c>
      <c r="K359" s="98"/>
      <c r="L359" s="100">
        <f t="shared" si="7"/>
        <v>6.4</v>
      </c>
      <c r="M359" s="101" t="s">
        <v>857</v>
      </c>
      <c r="N359" s="92"/>
      <c r="O359" s="65"/>
      <c r="P359" s="65"/>
      <c r="Q359" s="65"/>
      <c r="R359" s="65"/>
    </row>
    <row r="360" spans="1:14" s="65" customFormat="1" ht="24.75" customHeight="1">
      <c r="A360" s="112">
        <v>336</v>
      </c>
      <c r="B360" s="95" t="s">
        <v>1201</v>
      </c>
      <c r="C360" s="122" t="s">
        <v>61</v>
      </c>
      <c r="D360" s="123" t="s">
        <v>119</v>
      </c>
      <c r="E360" s="112" t="s">
        <v>730</v>
      </c>
      <c r="F360" s="143" t="s">
        <v>1304</v>
      </c>
      <c r="G360" s="99">
        <v>6</v>
      </c>
      <c r="H360" s="99">
        <v>7</v>
      </c>
      <c r="I360" s="99">
        <v>5.5</v>
      </c>
      <c r="J360" s="99">
        <v>7</v>
      </c>
      <c r="K360" s="99"/>
      <c r="L360" s="100">
        <f t="shared" si="7"/>
        <v>6.6</v>
      </c>
      <c r="M360" s="113" t="s">
        <v>857</v>
      </c>
      <c r="N360" s="92"/>
    </row>
    <row r="361" spans="1:18" s="64" customFormat="1" ht="24.75" customHeight="1">
      <c r="A361" s="94">
        <v>337</v>
      </c>
      <c r="B361" s="95" t="s">
        <v>1202</v>
      </c>
      <c r="C361" s="117" t="s">
        <v>430</v>
      </c>
      <c r="D361" s="118" t="s">
        <v>72</v>
      </c>
      <c r="E361" s="94" t="s">
        <v>734</v>
      </c>
      <c r="F361" s="143" t="s">
        <v>1304</v>
      </c>
      <c r="G361" s="98">
        <v>7</v>
      </c>
      <c r="H361" s="99">
        <v>8</v>
      </c>
      <c r="I361" s="98">
        <v>7</v>
      </c>
      <c r="J361" s="98">
        <v>8</v>
      </c>
      <c r="K361" s="98"/>
      <c r="L361" s="100">
        <f t="shared" si="7"/>
        <v>7.7</v>
      </c>
      <c r="M361" s="101" t="s">
        <v>857</v>
      </c>
      <c r="N361" s="92"/>
      <c r="O361" s="65"/>
      <c r="P361" s="65"/>
      <c r="Q361" s="65"/>
      <c r="R361" s="65"/>
    </row>
    <row r="362" spans="1:18" s="64" customFormat="1" ht="24.75" customHeight="1">
      <c r="A362" s="94">
        <v>338</v>
      </c>
      <c r="B362" s="95" t="s">
        <v>1203</v>
      </c>
      <c r="C362" s="117" t="s">
        <v>428</v>
      </c>
      <c r="D362" s="118" t="s">
        <v>280</v>
      </c>
      <c r="E362" s="94" t="s">
        <v>725</v>
      </c>
      <c r="F362" s="143" t="s">
        <v>1304</v>
      </c>
      <c r="G362" s="98">
        <v>7</v>
      </c>
      <c r="H362" s="99">
        <v>7</v>
      </c>
      <c r="I362" s="98">
        <v>7</v>
      </c>
      <c r="J362" s="98">
        <v>7</v>
      </c>
      <c r="K362" s="98"/>
      <c r="L362" s="100">
        <f t="shared" si="7"/>
        <v>7</v>
      </c>
      <c r="M362" s="101" t="s">
        <v>857</v>
      </c>
      <c r="N362" s="92"/>
      <c r="O362" s="65"/>
      <c r="P362" s="65"/>
      <c r="Q362" s="65"/>
      <c r="R362" s="65"/>
    </row>
    <row r="363" spans="1:18" s="64" customFormat="1" ht="24.75" customHeight="1">
      <c r="A363" s="94">
        <v>339</v>
      </c>
      <c r="B363" s="95" t="s">
        <v>1204</v>
      </c>
      <c r="C363" s="117" t="s">
        <v>41</v>
      </c>
      <c r="D363" s="118" t="s">
        <v>241</v>
      </c>
      <c r="E363" s="94" t="s">
        <v>640</v>
      </c>
      <c r="F363" s="143" t="s">
        <v>1305</v>
      </c>
      <c r="G363" s="98">
        <v>7</v>
      </c>
      <c r="H363" s="99">
        <v>6</v>
      </c>
      <c r="I363" s="98">
        <v>7</v>
      </c>
      <c r="J363" s="98">
        <v>7</v>
      </c>
      <c r="K363" s="98"/>
      <c r="L363" s="100">
        <f t="shared" si="7"/>
        <v>6.9</v>
      </c>
      <c r="M363" s="101" t="s">
        <v>1331</v>
      </c>
      <c r="N363" s="92"/>
      <c r="O363" s="65"/>
      <c r="P363" s="65"/>
      <c r="Q363" s="65"/>
      <c r="R363" s="65"/>
    </row>
    <row r="364" spans="1:18" s="64" customFormat="1" ht="24.75" customHeight="1">
      <c r="A364" s="94">
        <v>340</v>
      </c>
      <c r="B364" s="95" t="s">
        <v>1205</v>
      </c>
      <c r="C364" s="117" t="s">
        <v>208</v>
      </c>
      <c r="D364" s="118" t="s">
        <v>241</v>
      </c>
      <c r="E364" s="94" t="s">
        <v>641</v>
      </c>
      <c r="F364" s="143" t="s">
        <v>1305</v>
      </c>
      <c r="G364" s="98">
        <v>7</v>
      </c>
      <c r="H364" s="99">
        <v>7</v>
      </c>
      <c r="I364" s="98">
        <v>7</v>
      </c>
      <c r="J364" s="98">
        <v>9</v>
      </c>
      <c r="K364" s="98"/>
      <c r="L364" s="100">
        <f t="shared" si="7"/>
        <v>8.2</v>
      </c>
      <c r="M364" s="101" t="s">
        <v>1331</v>
      </c>
      <c r="N364" s="92"/>
      <c r="O364" s="65"/>
      <c r="P364" s="65"/>
      <c r="Q364" s="65"/>
      <c r="R364" s="65"/>
    </row>
    <row r="365" spans="1:18" s="64" customFormat="1" ht="24.75" customHeight="1">
      <c r="A365" s="94">
        <v>341</v>
      </c>
      <c r="B365" s="95" t="s">
        <v>1206</v>
      </c>
      <c r="C365" s="117" t="s">
        <v>52</v>
      </c>
      <c r="D365" s="118" t="s">
        <v>54</v>
      </c>
      <c r="E365" s="94" t="s">
        <v>827</v>
      </c>
      <c r="F365" s="143" t="s">
        <v>1305</v>
      </c>
      <c r="G365" s="98">
        <v>7</v>
      </c>
      <c r="H365" s="99">
        <v>7</v>
      </c>
      <c r="I365" s="98">
        <v>7</v>
      </c>
      <c r="J365" s="98">
        <v>7</v>
      </c>
      <c r="K365" s="98"/>
      <c r="L365" s="100">
        <f t="shared" si="7"/>
        <v>7</v>
      </c>
      <c r="M365" s="101" t="s">
        <v>1331</v>
      </c>
      <c r="N365" s="92"/>
      <c r="O365" s="65"/>
      <c r="P365" s="65"/>
      <c r="Q365" s="65"/>
      <c r="R365" s="65"/>
    </row>
    <row r="366" spans="1:18" s="64" customFormat="1" ht="24.75" customHeight="1">
      <c r="A366" s="94">
        <v>342</v>
      </c>
      <c r="B366" s="95" t="s">
        <v>1207</v>
      </c>
      <c r="C366" s="117" t="s">
        <v>69</v>
      </c>
      <c r="D366" s="118" t="s">
        <v>64</v>
      </c>
      <c r="E366" s="94" t="s">
        <v>830</v>
      </c>
      <c r="F366" s="143" t="s">
        <v>1305</v>
      </c>
      <c r="G366" s="98">
        <v>8</v>
      </c>
      <c r="H366" s="99">
        <v>7</v>
      </c>
      <c r="I366" s="98">
        <v>8</v>
      </c>
      <c r="J366" s="98">
        <v>8</v>
      </c>
      <c r="K366" s="98"/>
      <c r="L366" s="100">
        <f t="shared" si="7"/>
        <v>7.9</v>
      </c>
      <c r="M366" s="101" t="s">
        <v>1331</v>
      </c>
      <c r="N366" s="92"/>
      <c r="O366" s="65"/>
      <c r="P366" s="65"/>
      <c r="Q366" s="65"/>
      <c r="R366" s="65"/>
    </row>
    <row r="367" spans="1:18" s="66" customFormat="1" ht="24.75" customHeight="1">
      <c r="A367" s="114">
        <v>343</v>
      </c>
      <c r="B367" s="105" t="s">
        <v>1208</v>
      </c>
      <c r="C367" s="119" t="s">
        <v>76</v>
      </c>
      <c r="D367" s="120" t="s">
        <v>115</v>
      </c>
      <c r="E367" s="114" t="s">
        <v>828</v>
      </c>
      <c r="F367" s="144" t="s">
        <v>1305</v>
      </c>
      <c r="G367" s="115"/>
      <c r="H367" s="108"/>
      <c r="I367" s="115"/>
      <c r="J367" s="115"/>
      <c r="K367" s="115"/>
      <c r="L367" s="109">
        <f t="shared" si="7"/>
        <v>0</v>
      </c>
      <c r="M367" s="116" t="s">
        <v>1331</v>
      </c>
      <c r="N367" s="111" t="s">
        <v>1361</v>
      </c>
      <c r="O367" s="79"/>
      <c r="P367" s="79"/>
      <c r="Q367" s="79"/>
      <c r="R367" s="79"/>
    </row>
    <row r="368" spans="1:14" s="65" customFormat="1" ht="24.75" customHeight="1">
      <c r="A368" s="112">
        <v>344</v>
      </c>
      <c r="B368" s="95" t="s">
        <v>1209</v>
      </c>
      <c r="C368" s="122" t="s">
        <v>242</v>
      </c>
      <c r="D368" s="123" t="s">
        <v>243</v>
      </c>
      <c r="E368" s="112" t="s">
        <v>642</v>
      </c>
      <c r="F368" s="143" t="s">
        <v>1305</v>
      </c>
      <c r="G368" s="99">
        <v>7</v>
      </c>
      <c r="H368" s="99">
        <v>7</v>
      </c>
      <c r="I368" s="99">
        <v>7</v>
      </c>
      <c r="J368" s="99">
        <v>5</v>
      </c>
      <c r="K368" s="99"/>
      <c r="L368" s="100">
        <f t="shared" si="7"/>
        <v>5.8</v>
      </c>
      <c r="M368" s="113" t="s">
        <v>1331</v>
      </c>
      <c r="N368" s="92"/>
    </row>
    <row r="369" spans="1:18" s="64" customFormat="1" ht="24.75" customHeight="1">
      <c r="A369" s="94">
        <v>345</v>
      </c>
      <c r="B369" s="95" t="s">
        <v>1210</v>
      </c>
      <c r="C369" s="117" t="s">
        <v>452</v>
      </c>
      <c r="D369" s="118" t="s">
        <v>119</v>
      </c>
      <c r="E369" s="94" t="s">
        <v>829</v>
      </c>
      <c r="F369" s="143" t="s">
        <v>1305</v>
      </c>
      <c r="G369" s="98">
        <v>7</v>
      </c>
      <c r="H369" s="99">
        <v>5</v>
      </c>
      <c r="I369" s="98">
        <v>7</v>
      </c>
      <c r="J369" s="98">
        <v>8</v>
      </c>
      <c r="K369" s="98"/>
      <c r="L369" s="100">
        <f t="shared" si="7"/>
        <v>7.4</v>
      </c>
      <c r="M369" s="101" t="s">
        <v>1331</v>
      </c>
      <c r="N369" s="92"/>
      <c r="O369" s="65"/>
      <c r="P369" s="65"/>
      <c r="Q369" s="65"/>
      <c r="R369" s="65"/>
    </row>
    <row r="370" spans="1:18" s="64" customFormat="1" ht="24.75" customHeight="1">
      <c r="A370" s="94"/>
      <c r="B370" s="95"/>
      <c r="C370" s="133" t="s">
        <v>1374</v>
      </c>
      <c r="D370" s="148" t="s">
        <v>45</v>
      </c>
      <c r="E370" s="121">
        <v>30124</v>
      </c>
      <c r="F370" s="143" t="s">
        <v>1305</v>
      </c>
      <c r="G370" s="98">
        <v>7</v>
      </c>
      <c r="H370" s="99">
        <v>7</v>
      </c>
      <c r="I370" s="98">
        <v>7</v>
      </c>
      <c r="J370" s="98">
        <v>8</v>
      </c>
      <c r="K370" s="98"/>
      <c r="L370" s="100">
        <f t="shared" si="7"/>
        <v>7.6</v>
      </c>
      <c r="M370" s="134" t="s">
        <v>1376</v>
      </c>
      <c r="N370" s="92" t="s">
        <v>1369</v>
      </c>
      <c r="O370" s="65"/>
      <c r="P370" s="65"/>
      <c r="Q370" s="65"/>
      <c r="R370" s="65"/>
    </row>
    <row r="371" spans="1:18" s="64" customFormat="1" ht="24.75" customHeight="1">
      <c r="A371" s="94">
        <v>346</v>
      </c>
      <c r="B371" s="95" t="s">
        <v>1211</v>
      </c>
      <c r="C371" s="117" t="s">
        <v>256</v>
      </c>
      <c r="D371" s="118" t="s">
        <v>396</v>
      </c>
      <c r="E371" s="94" t="s">
        <v>666</v>
      </c>
      <c r="F371" s="143" t="s">
        <v>1306</v>
      </c>
      <c r="G371" s="98">
        <v>8</v>
      </c>
      <c r="H371" s="99">
        <v>7</v>
      </c>
      <c r="I371" s="98">
        <v>8</v>
      </c>
      <c r="J371" s="98"/>
      <c r="K371" s="98"/>
      <c r="L371" s="100">
        <f t="shared" si="7"/>
        <v>3.1</v>
      </c>
      <c r="M371" s="101" t="s">
        <v>1332</v>
      </c>
      <c r="N371" s="92"/>
      <c r="O371" s="65"/>
      <c r="P371" s="65"/>
      <c r="Q371" s="65"/>
      <c r="R371" s="65"/>
    </row>
    <row r="372" spans="1:18" s="64" customFormat="1" ht="24.75" customHeight="1">
      <c r="A372" s="94">
        <v>347</v>
      </c>
      <c r="B372" s="95" t="s">
        <v>1212</v>
      </c>
      <c r="C372" s="117" t="s">
        <v>52</v>
      </c>
      <c r="D372" s="118" t="s">
        <v>158</v>
      </c>
      <c r="E372" s="94" t="s">
        <v>665</v>
      </c>
      <c r="F372" s="143" t="s">
        <v>1306</v>
      </c>
      <c r="G372" s="98">
        <v>7</v>
      </c>
      <c r="H372" s="99">
        <v>8</v>
      </c>
      <c r="I372" s="98">
        <v>7</v>
      </c>
      <c r="J372" s="98"/>
      <c r="K372" s="98"/>
      <c r="L372" s="100">
        <f t="shared" si="7"/>
        <v>2.9</v>
      </c>
      <c r="M372" s="101" t="s">
        <v>1332</v>
      </c>
      <c r="N372" s="92"/>
      <c r="O372" s="65"/>
      <c r="P372" s="65"/>
      <c r="Q372" s="65"/>
      <c r="R372" s="65"/>
    </row>
    <row r="373" spans="1:18" s="64" customFormat="1" ht="24.75" customHeight="1">
      <c r="A373" s="94">
        <v>348</v>
      </c>
      <c r="B373" s="95" t="s">
        <v>1213</v>
      </c>
      <c r="C373" s="117" t="s">
        <v>71</v>
      </c>
      <c r="D373" s="118" t="s">
        <v>44</v>
      </c>
      <c r="E373" s="94" t="s">
        <v>838</v>
      </c>
      <c r="F373" s="143" t="s">
        <v>1306</v>
      </c>
      <c r="G373" s="98">
        <v>9</v>
      </c>
      <c r="H373" s="99">
        <v>9</v>
      </c>
      <c r="I373" s="98">
        <v>8</v>
      </c>
      <c r="J373" s="98"/>
      <c r="K373" s="98"/>
      <c r="L373" s="100">
        <f t="shared" si="7"/>
        <v>3.4</v>
      </c>
      <c r="M373" s="101" t="s">
        <v>1332</v>
      </c>
      <c r="N373" s="92"/>
      <c r="O373" s="65"/>
      <c r="P373" s="65"/>
      <c r="Q373" s="65"/>
      <c r="R373" s="65"/>
    </row>
    <row r="374" spans="1:18" s="66" customFormat="1" ht="24.75" customHeight="1">
      <c r="A374" s="114">
        <v>349</v>
      </c>
      <c r="B374" s="105" t="s">
        <v>1214</v>
      </c>
      <c r="C374" s="119" t="s">
        <v>245</v>
      </c>
      <c r="D374" s="120" t="s">
        <v>45</v>
      </c>
      <c r="E374" s="114" t="s">
        <v>644</v>
      </c>
      <c r="F374" s="144" t="s">
        <v>1306</v>
      </c>
      <c r="G374" s="115"/>
      <c r="H374" s="108"/>
      <c r="I374" s="115"/>
      <c r="J374" s="115"/>
      <c r="K374" s="115"/>
      <c r="L374" s="109">
        <f t="shared" si="7"/>
        <v>0</v>
      </c>
      <c r="M374" s="116" t="s">
        <v>1333</v>
      </c>
      <c r="N374" s="111" t="s">
        <v>1395</v>
      </c>
      <c r="O374" s="79"/>
      <c r="P374" s="79"/>
      <c r="Q374" s="79"/>
      <c r="R374" s="79"/>
    </row>
    <row r="375" spans="1:18" s="64" customFormat="1" ht="24.75" customHeight="1">
      <c r="A375" s="94">
        <v>350</v>
      </c>
      <c r="B375" s="95" t="s">
        <v>1215</v>
      </c>
      <c r="C375" s="117" t="s">
        <v>208</v>
      </c>
      <c r="D375" s="118" t="s">
        <v>343</v>
      </c>
      <c r="E375" s="94" t="s">
        <v>831</v>
      </c>
      <c r="F375" s="143" t="s">
        <v>1306</v>
      </c>
      <c r="G375" s="98">
        <v>7</v>
      </c>
      <c r="H375" s="99">
        <v>8</v>
      </c>
      <c r="I375" s="98">
        <v>7</v>
      </c>
      <c r="J375" s="98">
        <v>6</v>
      </c>
      <c r="K375" s="98"/>
      <c r="L375" s="100">
        <f t="shared" si="7"/>
        <v>6.5</v>
      </c>
      <c r="M375" s="101" t="s">
        <v>1333</v>
      </c>
      <c r="N375" s="92"/>
      <c r="O375" s="65"/>
      <c r="P375" s="65"/>
      <c r="Q375" s="65"/>
      <c r="R375" s="65"/>
    </row>
    <row r="376" spans="1:18" s="64" customFormat="1" ht="24.75" customHeight="1">
      <c r="A376" s="94">
        <v>351</v>
      </c>
      <c r="B376" s="95" t="s">
        <v>1216</v>
      </c>
      <c r="C376" s="117" t="s">
        <v>41</v>
      </c>
      <c r="D376" s="118" t="s">
        <v>345</v>
      </c>
      <c r="E376" s="94" t="s">
        <v>834</v>
      </c>
      <c r="F376" s="143" t="s">
        <v>1306</v>
      </c>
      <c r="G376" s="98">
        <v>8</v>
      </c>
      <c r="H376" s="99">
        <v>8</v>
      </c>
      <c r="I376" s="98">
        <v>8</v>
      </c>
      <c r="J376" s="98">
        <v>7</v>
      </c>
      <c r="K376" s="98"/>
      <c r="L376" s="100">
        <f t="shared" si="7"/>
        <v>7.4</v>
      </c>
      <c r="M376" s="101" t="s">
        <v>1333</v>
      </c>
      <c r="N376" s="92"/>
      <c r="O376" s="65"/>
      <c r="P376" s="65"/>
      <c r="Q376" s="65"/>
      <c r="R376" s="65"/>
    </row>
    <row r="377" spans="1:18" s="64" customFormat="1" ht="24.75" customHeight="1">
      <c r="A377" s="94">
        <v>352</v>
      </c>
      <c r="B377" s="95" t="s">
        <v>1217</v>
      </c>
      <c r="C377" s="117" t="s">
        <v>131</v>
      </c>
      <c r="D377" s="118" t="s">
        <v>320</v>
      </c>
      <c r="E377" s="94" t="s">
        <v>782</v>
      </c>
      <c r="F377" s="143" t="s">
        <v>1306</v>
      </c>
      <c r="G377" s="98">
        <v>6</v>
      </c>
      <c r="H377" s="99">
        <v>7</v>
      </c>
      <c r="I377" s="98">
        <v>5.5</v>
      </c>
      <c r="J377" s="98">
        <v>7</v>
      </c>
      <c r="K377" s="98"/>
      <c r="L377" s="100">
        <f t="shared" si="7"/>
        <v>6.6</v>
      </c>
      <c r="M377" s="101" t="s">
        <v>1333</v>
      </c>
      <c r="N377" s="92"/>
      <c r="O377" s="65"/>
      <c r="P377" s="65"/>
      <c r="Q377" s="65"/>
      <c r="R377" s="65"/>
    </row>
    <row r="378" spans="1:18" s="64" customFormat="1" ht="24.75" customHeight="1">
      <c r="A378" s="94">
        <v>353</v>
      </c>
      <c r="B378" s="95" t="s">
        <v>1218</v>
      </c>
      <c r="C378" s="117" t="s">
        <v>255</v>
      </c>
      <c r="D378" s="118" t="s">
        <v>48</v>
      </c>
      <c r="E378" s="94" t="s">
        <v>663</v>
      </c>
      <c r="F378" s="143" t="s">
        <v>1306</v>
      </c>
      <c r="G378" s="98">
        <v>6</v>
      </c>
      <c r="H378" s="99">
        <v>7</v>
      </c>
      <c r="I378" s="98">
        <v>6</v>
      </c>
      <c r="J378" s="98">
        <v>7</v>
      </c>
      <c r="K378" s="98"/>
      <c r="L378" s="100">
        <f t="shared" si="7"/>
        <v>6.7</v>
      </c>
      <c r="M378" s="101" t="s">
        <v>1333</v>
      </c>
      <c r="N378" s="92"/>
      <c r="O378" s="65"/>
      <c r="P378" s="65"/>
      <c r="Q378" s="65"/>
      <c r="R378" s="65"/>
    </row>
    <row r="379" spans="1:18" s="67" customFormat="1" ht="24.75" customHeight="1">
      <c r="A379" s="114">
        <v>354</v>
      </c>
      <c r="B379" s="105" t="s">
        <v>1219</v>
      </c>
      <c r="C379" s="119" t="s">
        <v>248</v>
      </c>
      <c r="D379" s="120" t="s">
        <v>48</v>
      </c>
      <c r="E379" s="114" t="s">
        <v>651</v>
      </c>
      <c r="F379" s="144" t="s">
        <v>1306</v>
      </c>
      <c r="G379" s="115"/>
      <c r="H379" s="108"/>
      <c r="I379" s="115"/>
      <c r="J379" s="115"/>
      <c r="K379" s="115"/>
      <c r="L379" s="109">
        <f aca="true" t="shared" si="8" ref="L379:L410">ROUND(G379*$C$11+H379*$C$12+I379*$C$13+J379*$C$14+K379*$C$15,1)</f>
        <v>0</v>
      </c>
      <c r="M379" s="116" t="s">
        <v>1333</v>
      </c>
      <c r="N379" s="111" t="s">
        <v>1361</v>
      </c>
      <c r="O379" s="79"/>
      <c r="P379" s="79"/>
      <c r="Q379" s="79"/>
      <c r="R379" s="79"/>
    </row>
    <row r="380" spans="1:18" s="64" customFormat="1" ht="24.75" customHeight="1">
      <c r="A380" s="94">
        <v>355</v>
      </c>
      <c r="B380" s="124" t="s">
        <v>1220</v>
      </c>
      <c r="C380" s="125" t="s">
        <v>208</v>
      </c>
      <c r="D380" s="126" t="s">
        <v>49</v>
      </c>
      <c r="E380" s="127" t="s">
        <v>833</v>
      </c>
      <c r="F380" s="145" t="s">
        <v>1306</v>
      </c>
      <c r="G380" s="128">
        <v>6</v>
      </c>
      <c r="H380" s="99">
        <v>8</v>
      </c>
      <c r="I380" s="128">
        <v>5</v>
      </c>
      <c r="J380" s="128">
        <v>6</v>
      </c>
      <c r="K380" s="128"/>
      <c r="L380" s="129">
        <f t="shared" si="8"/>
        <v>6</v>
      </c>
      <c r="M380" s="101" t="s">
        <v>1333</v>
      </c>
      <c r="N380" s="92"/>
      <c r="O380" s="65"/>
      <c r="P380" s="65"/>
      <c r="Q380" s="65"/>
      <c r="R380" s="65"/>
    </row>
    <row r="381" spans="1:18" s="64" customFormat="1" ht="24.75" customHeight="1">
      <c r="A381" s="94">
        <v>356</v>
      </c>
      <c r="B381" s="95" t="s">
        <v>1221</v>
      </c>
      <c r="C381" s="117" t="s">
        <v>244</v>
      </c>
      <c r="D381" s="118" t="s">
        <v>49</v>
      </c>
      <c r="E381" s="94" t="s">
        <v>643</v>
      </c>
      <c r="F381" s="143" t="s">
        <v>1306</v>
      </c>
      <c r="G381" s="98">
        <v>7</v>
      </c>
      <c r="H381" s="99">
        <v>7</v>
      </c>
      <c r="I381" s="98">
        <v>6.5</v>
      </c>
      <c r="J381" s="98">
        <v>8</v>
      </c>
      <c r="K381" s="98"/>
      <c r="L381" s="100">
        <f t="shared" si="8"/>
        <v>7.5</v>
      </c>
      <c r="M381" s="101" t="s">
        <v>1333</v>
      </c>
      <c r="N381" s="92"/>
      <c r="O381" s="65"/>
      <c r="P381" s="65"/>
      <c r="Q381" s="65"/>
      <c r="R381" s="65"/>
    </row>
    <row r="382" spans="1:18" s="64" customFormat="1" ht="24.75" customHeight="1">
      <c r="A382" s="94">
        <v>357</v>
      </c>
      <c r="B382" s="95" t="s">
        <v>1222</v>
      </c>
      <c r="C382" s="117" t="s">
        <v>41</v>
      </c>
      <c r="D382" s="118" t="s">
        <v>80</v>
      </c>
      <c r="E382" s="94" t="s">
        <v>626</v>
      </c>
      <c r="F382" s="143" t="s">
        <v>1306</v>
      </c>
      <c r="G382" s="98">
        <v>8</v>
      </c>
      <c r="H382" s="99">
        <v>7</v>
      </c>
      <c r="I382" s="98">
        <v>8</v>
      </c>
      <c r="J382" s="98">
        <v>6</v>
      </c>
      <c r="K382" s="98"/>
      <c r="L382" s="100">
        <f t="shared" si="8"/>
        <v>6.7</v>
      </c>
      <c r="M382" s="101" t="s">
        <v>1333</v>
      </c>
      <c r="N382" s="92"/>
      <c r="O382" s="65"/>
      <c r="P382" s="65"/>
      <c r="Q382" s="65"/>
      <c r="R382" s="65"/>
    </row>
    <row r="383" spans="1:18" s="64" customFormat="1" ht="24.75" customHeight="1">
      <c r="A383" s="94"/>
      <c r="B383" s="95"/>
      <c r="C383" s="133" t="s">
        <v>338</v>
      </c>
      <c r="D383" s="118" t="s">
        <v>46</v>
      </c>
      <c r="E383" s="135">
        <v>31185</v>
      </c>
      <c r="F383" s="143" t="s">
        <v>1306</v>
      </c>
      <c r="G383" s="98">
        <v>7</v>
      </c>
      <c r="H383" s="99">
        <v>7</v>
      </c>
      <c r="I383" s="98">
        <v>7</v>
      </c>
      <c r="J383" s="98">
        <v>6</v>
      </c>
      <c r="K383" s="98"/>
      <c r="L383" s="100">
        <f t="shared" si="8"/>
        <v>6.4</v>
      </c>
      <c r="M383" s="101" t="s">
        <v>1333</v>
      </c>
      <c r="N383" s="92" t="s">
        <v>1369</v>
      </c>
      <c r="O383" s="65"/>
      <c r="P383" s="65"/>
      <c r="Q383" s="65"/>
      <c r="R383" s="65"/>
    </row>
    <row r="384" spans="1:18" s="64" customFormat="1" ht="24.75" customHeight="1">
      <c r="A384" s="94">
        <v>358</v>
      </c>
      <c r="B384" s="95" t="s">
        <v>1223</v>
      </c>
      <c r="C384" s="117" t="s">
        <v>85</v>
      </c>
      <c r="D384" s="118" t="s">
        <v>111</v>
      </c>
      <c r="E384" s="94" t="s">
        <v>837</v>
      </c>
      <c r="F384" s="143" t="s">
        <v>1306</v>
      </c>
      <c r="G384" s="98">
        <v>8</v>
      </c>
      <c r="H384" s="99">
        <v>7</v>
      </c>
      <c r="I384" s="98">
        <v>8</v>
      </c>
      <c r="J384" s="98"/>
      <c r="K384" s="98"/>
      <c r="L384" s="100">
        <f t="shared" si="8"/>
        <v>3.1</v>
      </c>
      <c r="M384" s="101" t="s">
        <v>1332</v>
      </c>
      <c r="N384" s="92"/>
      <c r="O384" s="65"/>
      <c r="P384" s="65"/>
      <c r="Q384" s="65"/>
      <c r="R384" s="65"/>
    </row>
    <row r="385" spans="1:18" s="64" customFormat="1" ht="24.75" customHeight="1">
      <c r="A385" s="94">
        <v>359</v>
      </c>
      <c r="B385" s="95" t="s">
        <v>1224</v>
      </c>
      <c r="C385" s="117" t="s">
        <v>52</v>
      </c>
      <c r="D385" s="118" t="s">
        <v>53</v>
      </c>
      <c r="E385" s="94" t="s">
        <v>839</v>
      </c>
      <c r="F385" s="143" t="s">
        <v>1306</v>
      </c>
      <c r="G385" s="98">
        <v>8</v>
      </c>
      <c r="H385" s="99">
        <v>8</v>
      </c>
      <c r="I385" s="98">
        <v>8</v>
      </c>
      <c r="J385" s="98"/>
      <c r="K385" s="98"/>
      <c r="L385" s="100">
        <f t="shared" si="8"/>
        <v>3.2</v>
      </c>
      <c r="M385" s="101" t="s">
        <v>1332</v>
      </c>
      <c r="N385" s="92"/>
      <c r="O385" s="65"/>
      <c r="P385" s="65"/>
      <c r="Q385" s="65"/>
      <c r="R385" s="65"/>
    </row>
    <row r="386" spans="1:18" s="64" customFormat="1" ht="24.75" customHeight="1">
      <c r="A386" s="94">
        <v>360</v>
      </c>
      <c r="B386" s="95" t="s">
        <v>1225</v>
      </c>
      <c r="C386" s="117" t="s">
        <v>122</v>
      </c>
      <c r="D386" s="118" t="s">
        <v>81</v>
      </c>
      <c r="E386" s="94" t="s">
        <v>649</v>
      </c>
      <c r="F386" s="143" t="s">
        <v>1306</v>
      </c>
      <c r="G386" s="98">
        <v>7</v>
      </c>
      <c r="H386" s="99">
        <v>8</v>
      </c>
      <c r="I386" s="98">
        <v>7</v>
      </c>
      <c r="J386" s="98">
        <v>6</v>
      </c>
      <c r="K386" s="98"/>
      <c r="L386" s="100">
        <f t="shared" si="8"/>
        <v>6.5</v>
      </c>
      <c r="M386" s="101" t="s">
        <v>1333</v>
      </c>
      <c r="N386" s="92"/>
      <c r="O386" s="65"/>
      <c r="P386" s="65"/>
      <c r="Q386" s="65"/>
      <c r="R386" s="65"/>
    </row>
    <row r="387" spans="1:18" s="64" customFormat="1" ht="24.75" customHeight="1">
      <c r="A387" s="94">
        <v>361</v>
      </c>
      <c r="B387" s="95" t="s">
        <v>1226</v>
      </c>
      <c r="C387" s="117" t="s">
        <v>41</v>
      </c>
      <c r="D387" s="118" t="s">
        <v>81</v>
      </c>
      <c r="E387" s="94" t="s">
        <v>652</v>
      </c>
      <c r="F387" s="143" t="s">
        <v>1306</v>
      </c>
      <c r="G387" s="98">
        <v>6</v>
      </c>
      <c r="H387" s="99">
        <v>7</v>
      </c>
      <c r="I387" s="98">
        <v>6</v>
      </c>
      <c r="J387" s="98">
        <v>6</v>
      </c>
      <c r="K387" s="98"/>
      <c r="L387" s="100">
        <f t="shared" si="8"/>
        <v>6.1</v>
      </c>
      <c r="M387" s="101" t="s">
        <v>1333</v>
      </c>
      <c r="N387" s="92"/>
      <c r="O387" s="65"/>
      <c r="P387" s="65"/>
      <c r="Q387" s="65"/>
      <c r="R387" s="65"/>
    </row>
    <row r="388" spans="1:18" s="64" customFormat="1" ht="24.75" customHeight="1">
      <c r="A388" s="94">
        <v>362</v>
      </c>
      <c r="B388" s="95" t="s">
        <v>1227</v>
      </c>
      <c r="C388" s="117" t="s">
        <v>347</v>
      </c>
      <c r="D388" s="118" t="s">
        <v>57</v>
      </c>
      <c r="E388" s="94" t="s">
        <v>532</v>
      </c>
      <c r="F388" s="143" t="s">
        <v>1306</v>
      </c>
      <c r="G388" s="98">
        <v>9</v>
      </c>
      <c r="H388" s="99">
        <v>7</v>
      </c>
      <c r="I388" s="98">
        <v>8</v>
      </c>
      <c r="J388" s="98"/>
      <c r="K388" s="98"/>
      <c r="L388" s="100">
        <f t="shared" si="8"/>
        <v>3.2</v>
      </c>
      <c r="M388" s="101" t="s">
        <v>1332</v>
      </c>
      <c r="N388" s="92"/>
      <c r="O388" s="65"/>
      <c r="P388" s="65"/>
      <c r="Q388" s="65"/>
      <c r="R388" s="65"/>
    </row>
    <row r="389" spans="1:18" s="64" customFormat="1" ht="24.75" customHeight="1">
      <c r="A389" s="94">
        <v>363</v>
      </c>
      <c r="B389" s="95" t="s">
        <v>1228</v>
      </c>
      <c r="C389" s="117" t="s">
        <v>41</v>
      </c>
      <c r="D389" s="118" t="s">
        <v>57</v>
      </c>
      <c r="E389" s="94" t="s">
        <v>784</v>
      </c>
      <c r="F389" s="143" t="s">
        <v>1306</v>
      </c>
      <c r="G389" s="98">
        <v>8</v>
      </c>
      <c r="H389" s="99">
        <v>8</v>
      </c>
      <c r="I389" s="98">
        <v>8</v>
      </c>
      <c r="J389" s="98"/>
      <c r="K389" s="98"/>
      <c r="L389" s="100">
        <f t="shared" si="8"/>
        <v>3.2</v>
      </c>
      <c r="M389" s="101" t="s">
        <v>1332</v>
      </c>
      <c r="N389" s="92"/>
      <c r="O389" s="65"/>
      <c r="P389" s="65"/>
      <c r="Q389" s="65"/>
      <c r="R389" s="65"/>
    </row>
    <row r="390" spans="1:18" s="64" customFormat="1" ht="24.75" customHeight="1">
      <c r="A390" s="94">
        <v>364</v>
      </c>
      <c r="B390" s="95" t="s">
        <v>1229</v>
      </c>
      <c r="C390" s="117" t="s">
        <v>246</v>
      </c>
      <c r="D390" s="118" t="s">
        <v>57</v>
      </c>
      <c r="E390" s="94" t="s">
        <v>645</v>
      </c>
      <c r="F390" s="143" t="s">
        <v>1306</v>
      </c>
      <c r="G390" s="98">
        <v>6</v>
      </c>
      <c r="H390" s="99">
        <v>8</v>
      </c>
      <c r="I390" s="98">
        <v>5</v>
      </c>
      <c r="J390" s="98">
        <v>7</v>
      </c>
      <c r="K390" s="98"/>
      <c r="L390" s="100">
        <f t="shared" si="8"/>
        <v>6.6</v>
      </c>
      <c r="M390" s="101" t="s">
        <v>1333</v>
      </c>
      <c r="N390" s="92"/>
      <c r="O390" s="65"/>
      <c r="P390" s="65"/>
      <c r="Q390" s="65"/>
      <c r="R390" s="65"/>
    </row>
    <row r="391" spans="1:18" s="64" customFormat="1" ht="24.75" customHeight="1">
      <c r="A391" s="94">
        <v>365</v>
      </c>
      <c r="B391" s="95" t="s">
        <v>1230</v>
      </c>
      <c r="C391" s="117" t="s">
        <v>254</v>
      </c>
      <c r="D391" s="118" t="s">
        <v>58</v>
      </c>
      <c r="E391" s="94" t="s">
        <v>660</v>
      </c>
      <c r="F391" s="143" t="s">
        <v>1306</v>
      </c>
      <c r="G391" s="98">
        <v>6</v>
      </c>
      <c r="H391" s="99">
        <v>7</v>
      </c>
      <c r="I391" s="98">
        <v>5.5</v>
      </c>
      <c r="J391" s="98">
        <v>7</v>
      </c>
      <c r="K391" s="98"/>
      <c r="L391" s="100">
        <f t="shared" si="8"/>
        <v>6.6</v>
      </c>
      <c r="M391" s="101" t="s">
        <v>1333</v>
      </c>
      <c r="N391" s="92"/>
      <c r="O391" s="65"/>
      <c r="P391" s="65"/>
      <c r="Q391" s="65"/>
      <c r="R391" s="65"/>
    </row>
    <row r="392" spans="1:18" s="68" customFormat="1" ht="24.75" customHeight="1">
      <c r="A392" s="94">
        <v>366</v>
      </c>
      <c r="B392" s="95" t="s">
        <v>1231</v>
      </c>
      <c r="C392" s="117" t="s">
        <v>93</v>
      </c>
      <c r="D392" s="118" t="s">
        <v>321</v>
      </c>
      <c r="E392" s="94" t="s">
        <v>783</v>
      </c>
      <c r="F392" s="143" t="s">
        <v>1306</v>
      </c>
      <c r="G392" s="98">
        <v>9</v>
      </c>
      <c r="H392" s="99">
        <v>9</v>
      </c>
      <c r="I392" s="98">
        <v>8</v>
      </c>
      <c r="J392" s="98"/>
      <c r="K392" s="98"/>
      <c r="L392" s="100">
        <f t="shared" si="8"/>
        <v>3.4</v>
      </c>
      <c r="M392" s="101" t="s">
        <v>1332</v>
      </c>
      <c r="N392" s="92"/>
      <c r="O392" s="65"/>
      <c r="P392" s="65"/>
      <c r="Q392" s="65"/>
      <c r="R392" s="65"/>
    </row>
    <row r="393" spans="1:18" s="68" customFormat="1" ht="24.75" customHeight="1">
      <c r="A393" s="94">
        <v>367</v>
      </c>
      <c r="B393" s="95" t="s">
        <v>1232</v>
      </c>
      <c r="C393" s="117" t="s">
        <v>247</v>
      </c>
      <c r="D393" s="118" t="s">
        <v>113</v>
      </c>
      <c r="E393" s="94" t="s">
        <v>647</v>
      </c>
      <c r="F393" s="143" t="s">
        <v>1306</v>
      </c>
      <c r="G393" s="98">
        <v>8</v>
      </c>
      <c r="H393" s="99">
        <v>6</v>
      </c>
      <c r="I393" s="98">
        <v>8</v>
      </c>
      <c r="J393" s="98">
        <v>8</v>
      </c>
      <c r="K393" s="98"/>
      <c r="L393" s="100">
        <f t="shared" si="8"/>
        <v>7.8</v>
      </c>
      <c r="M393" s="101" t="s">
        <v>1333</v>
      </c>
      <c r="N393" s="92"/>
      <c r="O393" s="65"/>
      <c r="P393" s="65"/>
      <c r="Q393" s="65"/>
      <c r="R393" s="65"/>
    </row>
    <row r="394" spans="1:18" s="64" customFormat="1" ht="24.75" customHeight="1">
      <c r="A394" s="94">
        <v>368</v>
      </c>
      <c r="B394" s="95" t="s">
        <v>1233</v>
      </c>
      <c r="C394" s="117" t="s">
        <v>249</v>
      </c>
      <c r="D394" s="118" t="s">
        <v>191</v>
      </c>
      <c r="E394" s="94" t="s">
        <v>653</v>
      </c>
      <c r="F394" s="143" t="s">
        <v>1306</v>
      </c>
      <c r="G394" s="98">
        <v>8</v>
      </c>
      <c r="H394" s="99">
        <v>5</v>
      </c>
      <c r="I394" s="98">
        <v>8</v>
      </c>
      <c r="J394" s="98">
        <v>7</v>
      </c>
      <c r="K394" s="98"/>
      <c r="L394" s="100">
        <f t="shared" si="8"/>
        <v>7.1</v>
      </c>
      <c r="M394" s="101" t="s">
        <v>1333</v>
      </c>
      <c r="N394" s="92"/>
      <c r="O394" s="65"/>
      <c r="P394" s="65"/>
      <c r="Q394" s="65"/>
      <c r="R394" s="65"/>
    </row>
    <row r="395" spans="1:18" s="68" customFormat="1" ht="24.75" customHeight="1">
      <c r="A395" s="94">
        <v>369</v>
      </c>
      <c r="B395" s="95" t="s">
        <v>1234</v>
      </c>
      <c r="C395" s="117" t="s">
        <v>82</v>
      </c>
      <c r="D395" s="118" t="s">
        <v>253</v>
      </c>
      <c r="E395" s="94" t="s">
        <v>659</v>
      </c>
      <c r="F395" s="143" t="s">
        <v>1306</v>
      </c>
      <c r="G395" s="98">
        <v>8</v>
      </c>
      <c r="H395" s="99">
        <v>7</v>
      </c>
      <c r="I395" s="98">
        <v>8</v>
      </c>
      <c r="J395" s="98">
        <v>7</v>
      </c>
      <c r="K395" s="98"/>
      <c r="L395" s="100">
        <f t="shared" si="8"/>
        <v>7.3</v>
      </c>
      <c r="M395" s="101" t="s">
        <v>1333</v>
      </c>
      <c r="N395" s="92"/>
      <c r="O395" s="65"/>
      <c r="P395" s="65"/>
      <c r="Q395" s="65"/>
      <c r="R395" s="65"/>
    </row>
    <row r="396" spans="1:18" s="68" customFormat="1" ht="24.75" customHeight="1">
      <c r="A396" s="94">
        <v>370</v>
      </c>
      <c r="B396" s="95" t="s">
        <v>1235</v>
      </c>
      <c r="C396" s="117" t="s">
        <v>252</v>
      </c>
      <c r="D396" s="118" t="s">
        <v>116</v>
      </c>
      <c r="E396" s="94" t="s">
        <v>658</v>
      </c>
      <c r="F396" s="143" t="s">
        <v>1306</v>
      </c>
      <c r="G396" s="98">
        <v>7</v>
      </c>
      <c r="H396" s="99">
        <v>7</v>
      </c>
      <c r="I396" s="98">
        <v>7</v>
      </c>
      <c r="J396" s="98">
        <v>6</v>
      </c>
      <c r="K396" s="98"/>
      <c r="L396" s="100">
        <f t="shared" si="8"/>
        <v>6.4</v>
      </c>
      <c r="M396" s="101" t="s">
        <v>1333</v>
      </c>
      <c r="N396" s="92"/>
      <c r="O396" s="65"/>
      <c r="P396" s="65"/>
      <c r="Q396" s="65"/>
      <c r="R396" s="65"/>
    </row>
    <row r="397" spans="1:18" s="64" customFormat="1" ht="24.75" customHeight="1">
      <c r="A397" s="94">
        <v>371</v>
      </c>
      <c r="B397" s="95" t="s">
        <v>1236</v>
      </c>
      <c r="C397" s="117" t="s">
        <v>865</v>
      </c>
      <c r="D397" s="118" t="s">
        <v>62</v>
      </c>
      <c r="E397" s="94" t="s">
        <v>664</v>
      </c>
      <c r="F397" s="143" t="s">
        <v>1306</v>
      </c>
      <c r="G397" s="98">
        <v>7</v>
      </c>
      <c r="H397" s="99">
        <v>7</v>
      </c>
      <c r="I397" s="98">
        <v>7</v>
      </c>
      <c r="J397" s="98">
        <v>6</v>
      </c>
      <c r="K397" s="98"/>
      <c r="L397" s="100">
        <f t="shared" si="8"/>
        <v>6.4</v>
      </c>
      <c r="M397" s="101" t="s">
        <v>1333</v>
      </c>
      <c r="N397" s="92"/>
      <c r="O397" s="65"/>
      <c r="P397" s="65"/>
      <c r="Q397" s="65"/>
      <c r="R397" s="65"/>
    </row>
    <row r="398" spans="1:18" s="66" customFormat="1" ht="24.75" customHeight="1">
      <c r="A398" s="114">
        <v>372</v>
      </c>
      <c r="B398" s="105" t="s">
        <v>1237</v>
      </c>
      <c r="C398" s="119" t="s">
        <v>344</v>
      </c>
      <c r="D398" s="120" t="s">
        <v>453</v>
      </c>
      <c r="E398" s="114" t="s">
        <v>832</v>
      </c>
      <c r="F398" s="144" t="s">
        <v>1306</v>
      </c>
      <c r="G398" s="115"/>
      <c r="H398" s="108"/>
      <c r="I398" s="115"/>
      <c r="J398" s="115"/>
      <c r="K398" s="115"/>
      <c r="L398" s="109">
        <f t="shared" si="8"/>
        <v>0</v>
      </c>
      <c r="M398" s="116" t="s">
        <v>1333</v>
      </c>
      <c r="N398" s="111"/>
      <c r="O398" s="79"/>
      <c r="P398" s="79"/>
      <c r="Q398" s="79"/>
      <c r="R398" s="79"/>
    </row>
    <row r="399" spans="1:18" s="64" customFormat="1" ht="24.75" customHeight="1">
      <c r="A399" s="94">
        <v>373</v>
      </c>
      <c r="B399" s="95" t="s">
        <v>1238</v>
      </c>
      <c r="C399" s="117" t="s">
        <v>250</v>
      </c>
      <c r="D399" s="118" t="s">
        <v>410</v>
      </c>
      <c r="E399" s="94" t="s">
        <v>654</v>
      </c>
      <c r="F399" s="143" t="s">
        <v>1306</v>
      </c>
      <c r="G399" s="98">
        <v>6</v>
      </c>
      <c r="H399" s="99">
        <v>8</v>
      </c>
      <c r="I399" s="98">
        <v>6</v>
      </c>
      <c r="J399" s="98">
        <v>8</v>
      </c>
      <c r="K399" s="98"/>
      <c r="L399" s="100">
        <f t="shared" si="8"/>
        <v>7.4</v>
      </c>
      <c r="M399" s="101" t="s">
        <v>1333</v>
      </c>
      <c r="N399" s="92"/>
      <c r="O399" s="65"/>
      <c r="P399" s="65"/>
      <c r="Q399" s="65"/>
      <c r="R399" s="65"/>
    </row>
    <row r="400" spans="1:14" s="65" customFormat="1" ht="24.75" customHeight="1">
      <c r="A400" s="94">
        <v>374</v>
      </c>
      <c r="B400" s="95" t="s">
        <v>1239</v>
      </c>
      <c r="C400" s="122" t="s">
        <v>157</v>
      </c>
      <c r="D400" s="123" t="s">
        <v>64</v>
      </c>
      <c r="E400" s="112" t="s">
        <v>650</v>
      </c>
      <c r="F400" s="143" t="s">
        <v>1306</v>
      </c>
      <c r="G400" s="99">
        <v>6</v>
      </c>
      <c r="H400" s="99">
        <v>6</v>
      </c>
      <c r="I400" s="99">
        <v>6</v>
      </c>
      <c r="J400" s="99">
        <v>7</v>
      </c>
      <c r="K400" s="99"/>
      <c r="L400" s="100">
        <f t="shared" si="8"/>
        <v>6.6</v>
      </c>
      <c r="M400" s="113" t="s">
        <v>1333</v>
      </c>
      <c r="N400" s="92"/>
    </row>
    <row r="401" spans="1:18" s="64" customFormat="1" ht="24.75" customHeight="1">
      <c r="A401" s="94">
        <v>375</v>
      </c>
      <c r="B401" s="95" t="s">
        <v>1240</v>
      </c>
      <c r="C401" s="117" t="s">
        <v>41</v>
      </c>
      <c r="D401" s="118" t="s">
        <v>346</v>
      </c>
      <c r="E401" s="94" t="s">
        <v>835</v>
      </c>
      <c r="F401" s="143" t="s">
        <v>1306</v>
      </c>
      <c r="G401" s="98">
        <v>6</v>
      </c>
      <c r="H401" s="99"/>
      <c r="I401" s="98">
        <v>4</v>
      </c>
      <c r="J401" s="98"/>
      <c r="K401" s="98"/>
      <c r="L401" s="100">
        <f t="shared" si="8"/>
        <v>1.4</v>
      </c>
      <c r="M401" s="101" t="s">
        <v>1333</v>
      </c>
      <c r="N401" s="92" t="s">
        <v>1351</v>
      </c>
      <c r="O401" s="65"/>
      <c r="P401" s="65"/>
      <c r="Q401" s="65"/>
      <c r="R401" s="65"/>
    </row>
    <row r="402" spans="1:18" s="64" customFormat="1" ht="24.75" customHeight="1">
      <c r="A402" s="94">
        <v>376</v>
      </c>
      <c r="B402" s="95" t="s">
        <v>1241</v>
      </c>
      <c r="C402" s="117" t="s">
        <v>41</v>
      </c>
      <c r="D402" s="118" t="s">
        <v>146</v>
      </c>
      <c r="E402" s="94" t="s">
        <v>655</v>
      </c>
      <c r="F402" s="143" t="s">
        <v>1306</v>
      </c>
      <c r="G402" s="98">
        <v>7</v>
      </c>
      <c r="H402" s="99">
        <v>6</v>
      </c>
      <c r="I402" s="98">
        <v>7</v>
      </c>
      <c r="J402" s="98">
        <v>6</v>
      </c>
      <c r="K402" s="98"/>
      <c r="L402" s="100">
        <f t="shared" si="8"/>
        <v>6.3</v>
      </c>
      <c r="M402" s="101" t="s">
        <v>1333</v>
      </c>
      <c r="N402" s="92"/>
      <c r="O402" s="65"/>
      <c r="P402" s="65"/>
      <c r="Q402" s="65"/>
      <c r="R402" s="65"/>
    </row>
    <row r="403" spans="1:18" s="64" customFormat="1" ht="24.75" customHeight="1">
      <c r="A403" s="94">
        <v>377</v>
      </c>
      <c r="B403" s="95" t="s">
        <v>1242</v>
      </c>
      <c r="C403" s="117" t="s">
        <v>411</v>
      </c>
      <c r="D403" s="118" t="s">
        <v>146</v>
      </c>
      <c r="E403" s="94" t="s">
        <v>662</v>
      </c>
      <c r="F403" s="143" t="s">
        <v>1306</v>
      </c>
      <c r="G403" s="128"/>
      <c r="H403" s="99">
        <v>6</v>
      </c>
      <c r="I403" s="128">
        <v>0</v>
      </c>
      <c r="J403" s="98">
        <v>7</v>
      </c>
      <c r="K403" s="98"/>
      <c r="L403" s="100">
        <f t="shared" si="8"/>
        <v>4.8</v>
      </c>
      <c r="M403" s="101" t="s">
        <v>1333</v>
      </c>
      <c r="N403" s="92" t="s">
        <v>1363</v>
      </c>
      <c r="O403" s="65"/>
      <c r="P403" s="65"/>
      <c r="Q403" s="65"/>
      <c r="R403" s="65"/>
    </row>
    <row r="404" spans="1:18" s="64" customFormat="1" ht="24.75" customHeight="1">
      <c r="A404" s="94">
        <v>378</v>
      </c>
      <c r="B404" s="95" t="s">
        <v>1243</v>
      </c>
      <c r="C404" s="117" t="s">
        <v>454</v>
      </c>
      <c r="D404" s="118" t="s">
        <v>115</v>
      </c>
      <c r="E404" s="94" t="s">
        <v>836</v>
      </c>
      <c r="F404" s="143" t="s">
        <v>1306</v>
      </c>
      <c r="G404" s="98">
        <v>7</v>
      </c>
      <c r="H404" s="99">
        <v>7</v>
      </c>
      <c r="I404" s="98">
        <v>7</v>
      </c>
      <c r="J404" s="98"/>
      <c r="K404" s="98"/>
      <c r="L404" s="100">
        <f t="shared" si="8"/>
        <v>2.8</v>
      </c>
      <c r="M404" s="101" t="s">
        <v>1332</v>
      </c>
      <c r="N404" s="92"/>
      <c r="O404" s="65"/>
      <c r="P404" s="65"/>
      <c r="Q404" s="65"/>
      <c r="R404" s="65"/>
    </row>
    <row r="405" spans="1:18" s="64" customFormat="1" ht="24.75" customHeight="1">
      <c r="A405" s="94">
        <v>379</v>
      </c>
      <c r="B405" s="95" t="s">
        <v>1244</v>
      </c>
      <c r="C405" s="117" t="s">
        <v>41</v>
      </c>
      <c r="D405" s="118" t="s">
        <v>251</v>
      </c>
      <c r="E405" s="94" t="s">
        <v>656</v>
      </c>
      <c r="F405" s="143" t="s">
        <v>1306</v>
      </c>
      <c r="G405" s="98">
        <v>6</v>
      </c>
      <c r="H405" s="99">
        <v>7</v>
      </c>
      <c r="I405" s="98">
        <v>6</v>
      </c>
      <c r="J405" s="98">
        <v>8</v>
      </c>
      <c r="K405" s="98"/>
      <c r="L405" s="100">
        <f t="shared" si="8"/>
        <v>7.3</v>
      </c>
      <c r="M405" s="101" t="s">
        <v>1333</v>
      </c>
      <c r="N405" s="92"/>
      <c r="O405" s="65"/>
      <c r="P405" s="65"/>
      <c r="Q405" s="65"/>
      <c r="R405" s="65"/>
    </row>
    <row r="406" spans="1:18" s="64" customFormat="1" ht="24.75" customHeight="1">
      <c r="A406" s="94">
        <v>380</v>
      </c>
      <c r="B406" s="95" t="s">
        <v>1245</v>
      </c>
      <c r="C406" s="117" t="s">
        <v>327</v>
      </c>
      <c r="D406" s="118" t="s">
        <v>218</v>
      </c>
      <c r="E406" s="94" t="s">
        <v>793</v>
      </c>
      <c r="F406" s="143" t="s">
        <v>1306</v>
      </c>
      <c r="G406" s="98">
        <v>6</v>
      </c>
      <c r="H406" s="99">
        <v>6</v>
      </c>
      <c r="I406" s="98">
        <v>3</v>
      </c>
      <c r="J406" s="98">
        <v>5</v>
      </c>
      <c r="K406" s="98"/>
      <c r="L406" s="100">
        <f t="shared" si="8"/>
        <v>4.8</v>
      </c>
      <c r="M406" s="101" t="s">
        <v>1333</v>
      </c>
      <c r="N406" s="92"/>
      <c r="O406" s="65"/>
      <c r="P406" s="65"/>
      <c r="Q406" s="65"/>
      <c r="R406" s="65"/>
    </row>
    <row r="407" spans="1:18" s="64" customFormat="1" ht="24.75" customHeight="1">
      <c r="A407" s="94">
        <v>381</v>
      </c>
      <c r="B407" s="95" t="s">
        <v>1246</v>
      </c>
      <c r="C407" s="117" t="s">
        <v>41</v>
      </c>
      <c r="D407" s="118" t="s">
        <v>171</v>
      </c>
      <c r="E407" s="94" t="s">
        <v>661</v>
      </c>
      <c r="F407" s="143" t="s">
        <v>1306</v>
      </c>
      <c r="G407" s="98">
        <v>6</v>
      </c>
      <c r="H407" s="99">
        <v>8</v>
      </c>
      <c r="I407" s="98">
        <v>6</v>
      </c>
      <c r="J407" s="98">
        <v>7</v>
      </c>
      <c r="K407" s="98"/>
      <c r="L407" s="100">
        <f t="shared" si="8"/>
        <v>6.8</v>
      </c>
      <c r="M407" s="101" t="s">
        <v>1333</v>
      </c>
      <c r="N407" s="92"/>
      <c r="O407" s="65"/>
      <c r="P407" s="65"/>
      <c r="Q407" s="65"/>
      <c r="R407" s="65"/>
    </row>
    <row r="408" spans="1:18" s="64" customFormat="1" ht="24.75" customHeight="1">
      <c r="A408" s="94">
        <v>382</v>
      </c>
      <c r="B408" s="95" t="s">
        <v>1247</v>
      </c>
      <c r="C408" s="117" t="s">
        <v>326</v>
      </c>
      <c r="D408" s="118" t="s">
        <v>119</v>
      </c>
      <c r="E408" s="94" t="s">
        <v>792</v>
      </c>
      <c r="F408" s="143" t="s">
        <v>1306</v>
      </c>
      <c r="G408" s="98">
        <v>6</v>
      </c>
      <c r="H408" s="99">
        <v>5</v>
      </c>
      <c r="I408" s="98">
        <v>6</v>
      </c>
      <c r="J408" s="98">
        <v>6</v>
      </c>
      <c r="K408" s="98"/>
      <c r="L408" s="100">
        <f t="shared" si="8"/>
        <v>5.9</v>
      </c>
      <c r="M408" s="101" t="s">
        <v>1333</v>
      </c>
      <c r="N408" s="92"/>
      <c r="O408" s="65"/>
      <c r="P408" s="65"/>
      <c r="Q408" s="65"/>
      <c r="R408" s="65"/>
    </row>
    <row r="409" spans="1:18" s="66" customFormat="1" ht="24.75" customHeight="1">
      <c r="A409" s="114">
        <v>383</v>
      </c>
      <c r="B409" s="105" t="s">
        <v>1249</v>
      </c>
      <c r="C409" s="119" t="s">
        <v>409</v>
      </c>
      <c r="D409" s="120" t="s">
        <v>72</v>
      </c>
      <c r="E409" s="114" t="s">
        <v>648</v>
      </c>
      <c r="F409" s="144" t="s">
        <v>1306</v>
      </c>
      <c r="G409" s="115"/>
      <c r="H409" s="108"/>
      <c r="I409" s="115"/>
      <c r="J409" s="115"/>
      <c r="K409" s="115"/>
      <c r="L409" s="109">
        <f t="shared" si="8"/>
        <v>0</v>
      </c>
      <c r="M409" s="116" t="s">
        <v>1333</v>
      </c>
      <c r="N409" s="111" t="s">
        <v>1364</v>
      </c>
      <c r="O409" s="79"/>
      <c r="P409" s="79"/>
      <c r="Q409" s="79"/>
      <c r="R409" s="79"/>
    </row>
    <row r="410" spans="1:18" s="64" customFormat="1" ht="24.75" customHeight="1">
      <c r="A410" s="94">
        <v>384</v>
      </c>
      <c r="B410" s="95" t="s">
        <v>1250</v>
      </c>
      <c r="C410" s="117" t="s">
        <v>69</v>
      </c>
      <c r="D410" s="118" t="s">
        <v>72</v>
      </c>
      <c r="E410" s="94" t="s">
        <v>657</v>
      </c>
      <c r="F410" s="143" t="s">
        <v>1306</v>
      </c>
      <c r="G410" s="98">
        <v>6</v>
      </c>
      <c r="H410" s="99">
        <v>7</v>
      </c>
      <c r="I410" s="98">
        <v>6</v>
      </c>
      <c r="J410" s="98">
        <v>5</v>
      </c>
      <c r="K410" s="98"/>
      <c r="L410" s="100">
        <f t="shared" si="8"/>
        <v>5.5</v>
      </c>
      <c r="M410" s="101" t="s">
        <v>1333</v>
      </c>
      <c r="N410" s="92"/>
      <c r="O410" s="65"/>
      <c r="P410" s="65"/>
      <c r="Q410" s="65"/>
      <c r="R410" s="65"/>
    </row>
    <row r="411" spans="1:18" s="66" customFormat="1" ht="24.75" customHeight="1">
      <c r="A411" s="114">
        <v>385</v>
      </c>
      <c r="B411" s="105" t="s">
        <v>1251</v>
      </c>
      <c r="C411" s="119" t="s">
        <v>407</v>
      </c>
      <c r="D411" s="120" t="s">
        <v>408</v>
      </c>
      <c r="E411" s="114" t="s">
        <v>646</v>
      </c>
      <c r="F411" s="144" t="s">
        <v>1306</v>
      </c>
      <c r="G411" s="115"/>
      <c r="H411" s="108"/>
      <c r="I411" s="115"/>
      <c r="J411" s="115"/>
      <c r="K411" s="115"/>
      <c r="L411" s="109">
        <f aca="true" t="shared" si="9" ref="L411:L442">ROUND(G411*$C$11+H411*$C$12+I411*$C$13+J411*$C$14+K411*$C$15,1)</f>
        <v>0</v>
      </c>
      <c r="M411" s="116" t="s">
        <v>1333</v>
      </c>
      <c r="N411" s="111" t="s">
        <v>1361</v>
      </c>
      <c r="O411" s="79"/>
      <c r="P411" s="79"/>
      <c r="Q411" s="79"/>
      <c r="R411" s="79"/>
    </row>
    <row r="412" spans="1:18" s="64" customFormat="1" ht="24.75" customHeight="1">
      <c r="A412" s="94">
        <v>386</v>
      </c>
      <c r="B412" s="95" t="s">
        <v>1248</v>
      </c>
      <c r="C412" s="117" t="s">
        <v>38</v>
      </c>
      <c r="D412" s="118" t="s">
        <v>193</v>
      </c>
      <c r="E412" s="94" t="s">
        <v>558</v>
      </c>
      <c r="F412" s="143" t="s">
        <v>1306</v>
      </c>
      <c r="G412" s="98">
        <v>7</v>
      </c>
      <c r="H412" s="99">
        <v>7</v>
      </c>
      <c r="I412" s="98">
        <v>7</v>
      </c>
      <c r="J412" s="98">
        <v>8</v>
      </c>
      <c r="K412" s="98"/>
      <c r="L412" s="100">
        <f t="shared" si="9"/>
        <v>7.6</v>
      </c>
      <c r="M412" s="101" t="s">
        <v>849</v>
      </c>
      <c r="N412" s="92"/>
      <c r="O412" s="65"/>
      <c r="P412" s="65"/>
      <c r="Q412" s="65"/>
      <c r="R412" s="65"/>
    </row>
    <row r="413" spans="1:18" s="64" customFormat="1" ht="24.75" customHeight="1">
      <c r="A413" s="94">
        <v>387</v>
      </c>
      <c r="B413" s="95" t="s">
        <v>1252</v>
      </c>
      <c r="C413" s="117" t="s">
        <v>147</v>
      </c>
      <c r="D413" s="118" t="s">
        <v>37</v>
      </c>
      <c r="E413" s="94" t="s">
        <v>764</v>
      </c>
      <c r="F413" s="143" t="s">
        <v>1307</v>
      </c>
      <c r="G413" s="98">
        <v>6</v>
      </c>
      <c r="H413" s="99">
        <v>8</v>
      </c>
      <c r="I413" s="98">
        <v>4</v>
      </c>
      <c r="J413" s="98">
        <v>9</v>
      </c>
      <c r="K413" s="98"/>
      <c r="L413" s="100">
        <f t="shared" si="9"/>
        <v>7.6</v>
      </c>
      <c r="M413" s="101" t="s">
        <v>858</v>
      </c>
      <c r="N413" s="92"/>
      <c r="O413" s="65"/>
      <c r="P413" s="65"/>
      <c r="Q413" s="65"/>
      <c r="R413" s="65"/>
    </row>
    <row r="414" spans="1:18" s="64" customFormat="1" ht="24.75" customHeight="1">
      <c r="A414" s="94">
        <v>388</v>
      </c>
      <c r="B414" s="95" t="s">
        <v>1253</v>
      </c>
      <c r="C414" s="117" t="s">
        <v>94</v>
      </c>
      <c r="D414" s="118" t="s">
        <v>37</v>
      </c>
      <c r="E414" s="94" t="s">
        <v>757</v>
      </c>
      <c r="F414" s="143" t="s">
        <v>1307</v>
      </c>
      <c r="G414" s="98">
        <v>6</v>
      </c>
      <c r="H414" s="99">
        <v>8</v>
      </c>
      <c r="I414" s="98">
        <v>6</v>
      </c>
      <c r="J414" s="98">
        <v>5</v>
      </c>
      <c r="K414" s="98"/>
      <c r="L414" s="100">
        <f t="shared" si="9"/>
        <v>5.6</v>
      </c>
      <c r="M414" s="101" t="s">
        <v>858</v>
      </c>
      <c r="N414" s="92"/>
      <c r="O414" s="65"/>
      <c r="P414" s="65"/>
      <c r="Q414" s="65"/>
      <c r="R414" s="65"/>
    </row>
    <row r="415" spans="1:18" s="64" customFormat="1" ht="24.75" customHeight="1">
      <c r="A415" s="94">
        <v>389</v>
      </c>
      <c r="B415" s="95" t="s">
        <v>1254</v>
      </c>
      <c r="C415" s="117" t="s">
        <v>310</v>
      </c>
      <c r="D415" s="118" t="s">
        <v>418</v>
      </c>
      <c r="E415" s="94" t="s">
        <v>768</v>
      </c>
      <c r="F415" s="143" t="s">
        <v>1307</v>
      </c>
      <c r="G415" s="98">
        <v>6</v>
      </c>
      <c r="H415" s="99">
        <v>7</v>
      </c>
      <c r="I415" s="98">
        <v>5</v>
      </c>
      <c r="J415" s="98">
        <v>6</v>
      </c>
      <c r="K415" s="98"/>
      <c r="L415" s="100">
        <f t="shared" si="9"/>
        <v>5.9</v>
      </c>
      <c r="M415" s="101" t="s">
        <v>858</v>
      </c>
      <c r="N415" s="92"/>
      <c r="O415" s="65"/>
      <c r="P415" s="65"/>
      <c r="Q415" s="65"/>
      <c r="R415" s="65"/>
    </row>
    <row r="416" spans="1:18" s="64" customFormat="1" ht="24.75" customHeight="1">
      <c r="A416" s="94">
        <v>390</v>
      </c>
      <c r="B416" s="95" t="s">
        <v>1255</v>
      </c>
      <c r="C416" s="117" t="s">
        <v>1313</v>
      </c>
      <c r="D416" s="118" t="s">
        <v>864</v>
      </c>
      <c r="E416" s="94" t="s">
        <v>775</v>
      </c>
      <c r="F416" s="143" t="s">
        <v>1307</v>
      </c>
      <c r="G416" s="98">
        <v>7</v>
      </c>
      <c r="H416" s="99">
        <v>7</v>
      </c>
      <c r="I416" s="98">
        <v>7</v>
      </c>
      <c r="J416" s="98">
        <v>7</v>
      </c>
      <c r="K416" s="98"/>
      <c r="L416" s="100">
        <f t="shared" si="9"/>
        <v>7</v>
      </c>
      <c r="M416" s="101" t="s">
        <v>1334</v>
      </c>
      <c r="N416" s="92"/>
      <c r="O416" s="65"/>
      <c r="P416" s="65"/>
      <c r="Q416" s="65"/>
      <c r="R416" s="65"/>
    </row>
    <row r="417" spans="1:18" s="64" customFormat="1" ht="24.75" customHeight="1">
      <c r="A417" s="94">
        <v>391</v>
      </c>
      <c r="B417" s="95" t="s">
        <v>1256</v>
      </c>
      <c r="C417" s="117" t="s">
        <v>208</v>
      </c>
      <c r="D417" s="118" t="s">
        <v>396</v>
      </c>
      <c r="E417" s="94" t="s">
        <v>472</v>
      </c>
      <c r="F417" s="143" t="s">
        <v>1307</v>
      </c>
      <c r="G417" s="98">
        <v>6</v>
      </c>
      <c r="H417" s="99"/>
      <c r="I417" s="98">
        <v>5</v>
      </c>
      <c r="J417" s="98">
        <v>6</v>
      </c>
      <c r="K417" s="98"/>
      <c r="L417" s="100">
        <f t="shared" si="9"/>
        <v>5.2</v>
      </c>
      <c r="M417" s="101" t="s">
        <v>858</v>
      </c>
      <c r="N417" s="92"/>
      <c r="O417" s="65"/>
      <c r="P417" s="65"/>
      <c r="Q417" s="65"/>
      <c r="R417" s="65"/>
    </row>
    <row r="418" spans="1:18" s="64" customFormat="1" ht="24.75" customHeight="1">
      <c r="A418" s="94">
        <v>392</v>
      </c>
      <c r="B418" s="95" t="s">
        <v>1257</v>
      </c>
      <c r="C418" s="117" t="s">
        <v>1314</v>
      </c>
      <c r="D418" s="118" t="s">
        <v>863</v>
      </c>
      <c r="E418" s="94" t="s">
        <v>776</v>
      </c>
      <c r="F418" s="143" t="s">
        <v>1307</v>
      </c>
      <c r="G418" s="98">
        <v>7</v>
      </c>
      <c r="H418" s="99">
        <v>7</v>
      </c>
      <c r="I418" s="98">
        <v>7</v>
      </c>
      <c r="J418" s="98">
        <v>7</v>
      </c>
      <c r="K418" s="98"/>
      <c r="L418" s="100">
        <f t="shared" si="9"/>
        <v>7</v>
      </c>
      <c r="M418" s="101" t="s">
        <v>1334</v>
      </c>
      <c r="N418" s="92"/>
      <c r="O418" s="65"/>
      <c r="P418" s="65"/>
      <c r="Q418" s="65"/>
      <c r="R418" s="65"/>
    </row>
    <row r="419" spans="1:18" s="66" customFormat="1" ht="24.75" customHeight="1">
      <c r="A419" s="114">
        <v>393</v>
      </c>
      <c r="B419" s="105" t="s">
        <v>1258</v>
      </c>
      <c r="C419" s="119" t="s">
        <v>303</v>
      </c>
      <c r="D419" s="120" t="s">
        <v>158</v>
      </c>
      <c r="E419" s="114" t="s">
        <v>758</v>
      </c>
      <c r="F419" s="144" t="s">
        <v>1307</v>
      </c>
      <c r="G419" s="115"/>
      <c r="H419" s="108"/>
      <c r="I419" s="115"/>
      <c r="J419" s="115"/>
      <c r="K419" s="115"/>
      <c r="L419" s="109">
        <f t="shared" si="9"/>
        <v>0</v>
      </c>
      <c r="M419" s="116" t="s">
        <v>858</v>
      </c>
      <c r="N419" s="111" t="s">
        <v>1361</v>
      </c>
      <c r="O419" s="79"/>
      <c r="P419" s="79"/>
      <c r="Q419" s="79"/>
      <c r="R419" s="79"/>
    </row>
    <row r="420" spans="1:18" s="64" customFormat="1" ht="24.75" customHeight="1">
      <c r="A420" s="94">
        <v>394</v>
      </c>
      <c r="B420" s="95" t="s">
        <v>1259</v>
      </c>
      <c r="C420" s="117" t="s">
        <v>304</v>
      </c>
      <c r="D420" s="118" t="s">
        <v>436</v>
      </c>
      <c r="E420" s="94" t="s">
        <v>759</v>
      </c>
      <c r="F420" s="143" t="s">
        <v>1307</v>
      </c>
      <c r="G420" s="98">
        <v>8</v>
      </c>
      <c r="H420" s="99">
        <v>7</v>
      </c>
      <c r="I420" s="98">
        <v>8</v>
      </c>
      <c r="J420" s="98">
        <v>7</v>
      </c>
      <c r="K420" s="98"/>
      <c r="L420" s="100">
        <f t="shared" si="9"/>
        <v>7.3</v>
      </c>
      <c r="M420" s="101" t="s">
        <v>858</v>
      </c>
      <c r="N420" s="92"/>
      <c r="O420" s="65"/>
      <c r="P420" s="65"/>
      <c r="Q420" s="65"/>
      <c r="R420" s="65"/>
    </row>
    <row r="421" spans="1:18" s="64" customFormat="1" ht="24.75" customHeight="1">
      <c r="A421" s="94">
        <v>395</v>
      </c>
      <c r="B421" s="95" t="s">
        <v>1260</v>
      </c>
      <c r="C421" s="117" t="s">
        <v>308</v>
      </c>
      <c r="D421" s="118" t="s">
        <v>46</v>
      </c>
      <c r="E421" s="94" t="s">
        <v>765</v>
      </c>
      <c r="F421" s="143" t="s">
        <v>1307</v>
      </c>
      <c r="G421" s="98">
        <v>6</v>
      </c>
      <c r="H421" s="99">
        <v>7</v>
      </c>
      <c r="I421" s="98">
        <v>5</v>
      </c>
      <c r="J421" s="98">
        <v>7</v>
      </c>
      <c r="K421" s="98"/>
      <c r="L421" s="100">
        <f t="shared" si="9"/>
        <v>6.5</v>
      </c>
      <c r="M421" s="101" t="s">
        <v>858</v>
      </c>
      <c r="N421" s="92"/>
      <c r="O421" s="65"/>
      <c r="P421" s="65"/>
      <c r="Q421" s="65"/>
      <c r="R421" s="65"/>
    </row>
    <row r="422" spans="1:18" s="64" customFormat="1" ht="24.75" customHeight="1">
      <c r="A422" s="94">
        <v>396</v>
      </c>
      <c r="B422" s="95" t="s">
        <v>1261</v>
      </c>
      <c r="C422" s="117" t="s">
        <v>296</v>
      </c>
      <c r="D422" s="118" t="s">
        <v>48</v>
      </c>
      <c r="E422" s="94" t="s">
        <v>747</v>
      </c>
      <c r="F422" s="143" t="s">
        <v>1307</v>
      </c>
      <c r="G422" s="98">
        <v>6</v>
      </c>
      <c r="H422" s="99">
        <v>7</v>
      </c>
      <c r="I422" s="98">
        <v>6</v>
      </c>
      <c r="J422" s="98">
        <v>4</v>
      </c>
      <c r="K422" s="98"/>
      <c r="L422" s="100">
        <f t="shared" si="9"/>
        <v>4.9</v>
      </c>
      <c r="M422" s="101" t="s">
        <v>858</v>
      </c>
      <c r="N422" s="92"/>
      <c r="O422" s="65"/>
      <c r="P422" s="65"/>
      <c r="Q422" s="65"/>
      <c r="R422" s="65"/>
    </row>
    <row r="423" spans="1:18" s="64" customFormat="1" ht="24.75" customHeight="1">
      <c r="A423" s="94">
        <v>397</v>
      </c>
      <c r="B423" s="95" t="s">
        <v>1262</v>
      </c>
      <c r="C423" s="117" t="s">
        <v>71</v>
      </c>
      <c r="D423" s="118" t="s">
        <v>311</v>
      </c>
      <c r="E423" s="94" t="s">
        <v>769</v>
      </c>
      <c r="F423" s="143" t="s">
        <v>1307</v>
      </c>
      <c r="G423" s="98">
        <v>7</v>
      </c>
      <c r="H423" s="99">
        <v>8</v>
      </c>
      <c r="I423" s="98">
        <v>7</v>
      </c>
      <c r="J423" s="98">
        <v>7</v>
      </c>
      <c r="K423" s="98"/>
      <c r="L423" s="100">
        <f t="shared" si="9"/>
        <v>7.1</v>
      </c>
      <c r="M423" s="101" t="s">
        <v>858</v>
      </c>
      <c r="N423" s="92"/>
      <c r="O423" s="65"/>
      <c r="P423" s="65"/>
      <c r="Q423" s="65"/>
      <c r="R423" s="65"/>
    </row>
    <row r="424" spans="1:18" s="64" customFormat="1" ht="24.75" customHeight="1">
      <c r="A424" s="94">
        <v>398</v>
      </c>
      <c r="B424" s="95" t="s">
        <v>1263</v>
      </c>
      <c r="C424" s="117" t="s">
        <v>312</v>
      </c>
      <c r="D424" s="118" t="s">
        <v>53</v>
      </c>
      <c r="E424" s="94" t="s">
        <v>467</v>
      </c>
      <c r="F424" s="143" t="s">
        <v>1307</v>
      </c>
      <c r="G424" s="98">
        <v>6</v>
      </c>
      <c r="H424" s="99">
        <v>7</v>
      </c>
      <c r="I424" s="98">
        <v>3.5</v>
      </c>
      <c r="J424" s="98">
        <v>6</v>
      </c>
      <c r="K424" s="98"/>
      <c r="L424" s="100">
        <f t="shared" si="9"/>
        <v>5.6</v>
      </c>
      <c r="M424" s="101" t="s">
        <v>858</v>
      </c>
      <c r="N424" s="92"/>
      <c r="O424" s="65"/>
      <c r="P424" s="65"/>
      <c r="Q424" s="65"/>
      <c r="R424" s="65"/>
    </row>
    <row r="425" spans="1:18" s="64" customFormat="1" ht="24.75" customHeight="1">
      <c r="A425" s="94">
        <v>399</v>
      </c>
      <c r="B425" s="95" t="s">
        <v>1264</v>
      </c>
      <c r="C425" s="117" t="s">
        <v>430</v>
      </c>
      <c r="D425" s="118" t="s">
        <v>53</v>
      </c>
      <c r="E425" s="94" t="s">
        <v>771</v>
      </c>
      <c r="F425" s="143" t="s">
        <v>1307</v>
      </c>
      <c r="G425" s="98">
        <v>6</v>
      </c>
      <c r="H425" s="99">
        <v>7</v>
      </c>
      <c r="I425" s="98">
        <v>6</v>
      </c>
      <c r="J425" s="98">
        <v>7</v>
      </c>
      <c r="K425" s="98"/>
      <c r="L425" s="100">
        <f t="shared" si="9"/>
        <v>6.7</v>
      </c>
      <c r="M425" s="101" t="s">
        <v>1334</v>
      </c>
      <c r="N425" s="92"/>
      <c r="O425" s="65"/>
      <c r="P425" s="65"/>
      <c r="Q425" s="65"/>
      <c r="R425" s="65"/>
    </row>
    <row r="426" spans="1:18" s="64" customFormat="1" ht="24.75" customHeight="1">
      <c r="A426" s="94">
        <v>400</v>
      </c>
      <c r="B426" s="95" t="s">
        <v>1265</v>
      </c>
      <c r="C426" s="117" t="s">
        <v>299</v>
      </c>
      <c r="D426" s="118" t="s">
        <v>124</v>
      </c>
      <c r="E426" s="94" t="s">
        <v>750</v>
      </c>
      <c r="F426" s="143" t="s">
        <v>1307</v>
      </c>
      <c r="G426" s="98">
        <v>7</v>
      </c>
      <c r="H426" s="99">
        <v>7</v>
      </c>
      <c r="I426" s="98">
        <v>7</v>
      </c>
      <c r="J426" s="98">
        <v>8</v>
      </c>
      <c r="K426" s="98"/>
      <c r="L426" s="100">
        <f t="shared" si="9"/>
        <v>7.6</v>
      </c>
      <c r="M426" s="101" t="s">
        <v>858</v>
      </c>
      <c r="N426" s="92"/>
      <c r="O426" s="65"/>
      <c r="P426" s="65"/>
      <c r="Q426" s="65"/>
      <c r="R426" s="65"/>
    </row>
    <row r="427" spans="1:18" s="64" customFormat="1" ht="24.75" customHeight="1">
      <c r="A427" s="94">
        <v>401</v>
      </c>
      <c r="B427" s="95" t="s">
        <v>1266</v>
      </c>
      <c r="C427" s="117" t="s">
        <v>41</v>
      </c>
      <c r="D427" s="118" t="s">
        <v>86</v>
      </c>
      <c r="E427" s="94" t="s">
        <v>766</v>
      </c>
      <c r="F427" s="143" t="s">
        <v>1307</v>
      </c>
      <c r="G427" s="128"/>
      <c r="H427" s="99">
        <v>8</v>
      </c>
      <c r="I427" s="128">
        <v>0</v>
      </c>
      <c r="J427" s="98">
        <v>6</v>
      </c>
      <c r="K427" s="98"/>
      <c r="L427" s="100">
        <f t="shared" si="9"/>
        <v>4.4</v>
      </c>
      <c r="M427" s="101" t="s">
        <v>858</v>
      </c>
      <c r="N427" s="92" t="s">
        <v>1394</v>
      </c>
      <c r="O427" s="65"/>
      <c r="P427" s="65"/>
      <c r="Q427" s="65"/>
      <c r="R427" s="65"/>
    </row>
    <row r="428" spans="1:18" s="64" customFormat="1" ht="24.75" customHeight="1">
      <c r="A428" s="94">
        <v>402</v>
      </c>
      <c r="B428" s="95" t="s">
        <v>1267</v>
      </c>
      <c r="C428" s="117" t="s">
        <v>305</v>
      </c>
      <c r="D428" s="118" t="s">
        <v>57</v>
      </c>
      <c r="E428" s="94" t="s">
        <v>760</v>
      </c>
      <c r="F428" s="143" t="s">
        <v>1307</v>
      </c>
      <c r="G428" s="98">
        <v>8</v>
      </c>
      <c r="H428" s="99">
        <v>7</v>
      </c>
      <c r="I428" s="98">
        <v>8</v>
      </c>
      <c r="J428" s="98">
        <v>6</v>
      </c>
      <c r="K428" s="98"/>
      <c r="L428" s="100">
        <f t="shared" si="9"/>
        <v>6.7</v>
      </c>
      <c r="M428" s="101" t="s">
        <v>858</v>
      </c>
      <c r="N428" s="92"/>
      <c r="O428" s="65"/>
      <c r="P428" s="65"/>
      <c r="Q428" s="65"/>
      <c r="R428" s="65"/>
    </row>
    <row r="429" spans="1:18" s="64" customFormat="1" ht="24.75" customHeight="1">
      <c r="A429" s="94">
        <v>403</v>
      </c>
      <c r="B429" s="95" t="s">
        <v>1268</v>
      </c>
      <c r="C429" s="117" t="s">
        <v>309</v>
      </c>
      <c r="D429" s="118" t="s">
        <v>439</v>
      </c>
      <c r="E429" s="94" t="s">
        <v>767</v>
      </c>
      <c r="F429" s="143" t="s">
        <v>1307</v>
      </c>
      <c r="G429" s="98">
        <v>6</v>
      </c>
      <c r="H429" s="99">
        <v>8</v>
      </c>
      <c r="I429" s="98">
        <v>6</v>
      </c>
      <c r="J429" s="98">
        <v>7</v>
      </c>
      <c r="K429" s="98"/>
      <c r="L429" s="100">
        <f t="shared" si="9"/>
        <v>6.8</v>
      </c>
      <c r="M429" s="101" t="s">
        <v>858</v>
      </c>
      <c r="N429" s="92"/>
      <c r="O429" s="65"/>
      <c r="P429" s="65"/>
      <c r="Q429" s="65"/>
      <c r="R429" s="65"/>
    </row>
    <row r="430" spans="1:18" s="64" customFormat="1" ht="24.75" customHeight="1">
      <c r="A430" s="94">
        <v>404</v>
      </c>
      <c r="B430" s="95" t="s">
        <v>1269</v>
      </c>
      <c r="C430" s="117" t="s">
        <v>85</v>
      </c>
      <c r="D430" s="118" t="s">
        <v>89</v>
      </c>
      <c r="E430" s="94" t="s">
        <v>772</v>
      </c>
      <c r="F430" s="143" t="s">
        <v>1307</v>
      </c>
      <c r="G430" s="98">
        <v>6</v>
      </c>
      <c r="H430" s="99">
        <v>7</v>
      </c>
      <c r="I430" s="98">
        <v>6</v>
      </c>
      <c r="J430" s="98">
        <v>5</v>
      </c>
      <c r="K430" s="98"/>
      <c r="L430" s="100">
        <f t="shared" si="9"/>
        <v>5.5</v>
      </c>
      <c r="M430" s="101" t="s">
        <v>1334</v>
      </c>
      <c r="N430" s="92"/>
      <c r="O430" s="65"/>
      <c r="P430" s="65"/>
      <c r="Q430" s="65"/>
      <c r="R430" s="65"/>
    </row>
    <row r="431" spans="1:18" s="64" customFormat="1" ht="24.75" customHeight="1">
      <c r="A431" s="94">
        <v>405</v>
      </c>
      <c r="B431" s="95" t="s">
        <v>1270</v>
      </c>
      <c r="C431" s="117" t="s">
        <v>96</v>
      </c>
      <c r="D431" s="118" t="s">
        <v>60</v>
      </c>
      <c r="E431" s="94" t="s">
        <v>752</v>
      </c>
      <c r="F431" s="143" t="s">
        <v>1307</v>
      </c>
      <c r="G431" s="98">
        <v>7</v>
      </c>
      <c r="H431" s="99">
        <v>7</v>
      </c>
      <c r="I431" s="98">
        <v>7</v>
      </c>
      <c r="J431" s="98">
        <v>9</v>
      </c>
      <c r="K431" s="98"/>
      <c r="L431" s="100">
        <f t="shared" si="9"/>
        <v>8.2</v>
      </c>
      <c r="M431" s="101" t="s">
        <v>858</v>
      </c>
      <c r="N431" s="92"/>
      <c r="O431" s="65"/>
      <c r="P431" s="65"/>
      <c r="Q431" s="65"/>
      <c r="R431" s="65"/>
    </row>
    <row r="432" spans="1:18" s="64" customFormat="1" ht="24.75" customHeight="1">
      <c r="A432" s="94">
        <v>406</v>
      </c>
      <c r="B432" s="95" t="s">
        <v>1271</v>
      </c>
      <c r="C432" s="117" t="s">
        <v>314</v>
      </c>
      <c r="D432" s="118" t="s">
        <v>113</v>
      </c>
      <c r="E432" s="94" t="s">
        <v>774</v>
      </c>
      <c r="F432" s="143" t="s">
        <v>1307</v>
      </c>
      <c r="G432" s="98">
        <v>7</v>
      </c>
      <c r="H432" s="99">
        <v>7</v>
      </c>
      <c r="I432" s="98">
        <v>6.5</v>
      </c>
      <c r="J432" s="98">
        <v>6</v>
      </c>
      <c r="K432" s="98"/>
      <c r="L432" s="100">
        <f t="shared" si="9"/>
        <v>6.3</v>
      </c>
      <c r="M432" s="101" t="s">
        <v>1334</v>
      </c>
      <c r="N432" s="92"/>
      <c r="O432" s="65"/>
      <c r="P432" s="65"/>
      <c r="Q432" s="65"/>
      <c r="R432" s="65"/>
    </row>
    <row r="433" spans="1:18" s="64" customFormat="1" ht="24.75" customHeight="1">
      <c r="A433" s="94">
        <v>407</v>
      </c>
      <c r="B433" s="95" t="s">
        <v>1272</v>
      </c>
      <c r="C433" s="117" t="s">
        <v>435</v>
      </c>
      <c r="D433" s="118" t="s">
        <v>300</v>
      </c>
      <c r="E433" s="94" t="s">
        <v>751</v>
      </c>
      <c r="F433" s="143" t="s">
        <v>1307</v>
      </c>
      <c r="G433" s="98">
        <v>9</v>
      </c>
      <c r="H433" s="99">
        <v>7</v>
      </c>
      <c r="I433" s="98">
        <v>8.5</v>
      </c>
      <c r="J433" s="98">
        <v>9</v>
      </c>
      <c r="K433" s="98"/>
      <c r="L433" s="100">
        <f t="shared" si="9"/>
        <v>8.7</v>
      </c>
      <c r="M433" s="101" t="s">
        <v>858</v>
      </c>
      <c r="N433" s="92"/>
      <c r="O433" s="65"/>
      <c r="P433" s="65"/>
      <c r="Q433" s="65"/>
      <c r="R433" s="65"/>
    </row>
    <row r="434" spans="1:18" s="64" customFormat="1" ht="24.75" customHeight="1">
      <c r="A434" s="94">
        <v>408</v>
      </c>
      <c r="B434" s="95" t="s">
        <v>1273</v>
      </c>
      <c r="C434" s="117" t="s">
        <v>298</v>
      </c>
      <c r="D434" s="118" t="s">
        <v>132</v>
      </c>
      <c r="E434" s="94" t="s">
        <v>749</v>
      </c>
      <c r="F434" s="143" t="s">
        <v>1307</v>
      </c>
      <c r="G434" s="98">
        <v>7</v>
      </c>
      <c r="H434" s="99">
        <v>7</v>
      </c>
      <c r="I434" s="98">
        <v>7</v>
      </c>
      <c r="J434" s="98">
        <v>6</v>
      </c>
      <c r="K434" s="98"/>
      <c r="L434" s="100">
        <f t="shared" si="9"/>
        <v>6.4</v>
      </c>
      <c r="M434" s="101" t="s">
        <v>858</v>
      </c>
      <c r="N434" s="92"/>
      <c r="O434" s="65"/>
      <c r="P434" s="65"/>
      <c r="Q434" s="65"/>
      <c r="R434" s="65"/>
    </row>
    <row r="435" spans="1:18" s="64" customFormat="1" ht="24.75" customHeight="1">
      <c r="A435" s="94">
        <v>409</v>
      </c>
      <c r="B435" s="95" t="s">
        <v>1274</v>
      </c>
      <c r="C435" s="117" t="s">
        <v>313</v>
      </c>
      <c r="D435" s="118" t="s">
        <v>95</v>
      </c>
      <c r="E435" s="94" t="s">
        <v>773</v>
      </c>
      <c r="F435" s="143" t="s">
        <v>1307</v>
      </c>
      <c r="G435" s="98">
        <v>6</v>
      </c>
      <c r="H435" s="99">
        <v>7</v>
      </c>
      <c r="I435" s="98">
        <v>6</v>
      </c>
      <c r="J435" s="98">
        <v>6</v>
      </c>
      <c r="K435" s="98"/>
      <c r="L435" s="100">
        <f t="shared" si="9"/>
        <v>6.1</v>
      </c>
      <c r="M435" s="101" t="s">
        <v>1334</v>
      </c>
      <c r="N435" s="92"/>
      <c r="O435" s="65"/>
      <c r="P435" s="65"/>
      <c r="Q435" s="65"/>
      <c r="R435" s="65"/>
    </row>
    <row r="436" spans="1:18" s="64" customFormat="1" ht="24.75" customHeight="1">
      <c r="A436" s="94">
        <v>410</v>
      </c>
      <c r="B436" s="95" t="s">
        <v>1275</v>
      </c>
      <c r="C436" s="117" t="s">
        <v>41</v>
      </c>
      <c r="D436" s="118" t="s">
        <v>62</v>
      </c>
      <c r="E436" s="94" t="s">
        <v>753</v>
      </c>
      <c r="F436" s="143" t="s">
        <v>1307</v>
      </c>
      <c r="G436" s="98">
        <v>7</v>
      </c>
      <c r="H436" s="99">
        <v>7</v>
      </c>
      <c r="I436" s="98">
        <v>7</v>
      </c>
      <c r="J436" s="98">
        <v>7</v>
      </c>
      <c r="K436" s="98"/>
      <c r="L436" s="100">
        <f t="shared" si="9"/>
        <v>7</v>
      </c>
      <c r="M436" s="101" t="s">
        <v>858</v>
      </c>
      <c r="N436" s="92"/>
      <c r="O436" s="65"/>
      <c r="P436" s="65"/>
      <c r="Q436" s="65"/>
      <c r="R436" s="65"/>
    </row>
    <row r="437" spans="1:14" s="65" customFormat="1" ht="24.75" customHeight="1">
      <c r="A437" s="112">
        <v>411</v>
      </c>
      <c r="B437" s="95" t="s">
        <v>1276</v>
      </c>
      <c r="C437" s="122" t="s">
        <v>297</v>
      </c>
      <c r="D437" s="123" t="s">
        <v>184</v>
      </c>
      <c r="E437" s="112" t="s">
        <v>748</v>
      </c>
      <c r="F437" s="143" t="s">
        <v>1307</v>
      </c>
      <c r="G437" s="99">
        <v>6</v>
      </c>
      <c r="H437" s="99">
        <v>7</v>
      </c>
      <c r="I437" s="99">
        <v>6</v>
      </c>
      <c r="J437" s="99">
        <v>8</v>
      </c>
      <c r="K437" s="99"/>
      <c r="L437" s="100">
        <f t="shared" si="9"/>
        <v>7.3</v>
      </c>
      <c r="M437" s="113" t="s">
        <v>858</v>
      </c>
      <c r="N437" s="92"/>
    </row>
    <row r="438" spans="1:18" s="64" customFormat="1" ht="24.75" customHeight="1">
      <c r="A438" s="94">
        <v>412</v>
      </c>
      <c r="B438" s="95" t="s">
        <v>1277</v>
      </c>
      <c r="C438" s="117" t="s">
        <v>437</v>
      </c>
      <c r="D438" s="118" t="s">
        <v>306</v>
      </c>
      <c r="E438" s="94" t="s">
        <v>761</v>
      </c>
      <c r="F438" s="143" t="s">
        <v>1307</v>
      </c>
      <c r="G438" s="98"/>
      <c r="H438" s="99"/>
      <c r="I438" s="98"/>
      <c r="J438" s="98"/>
      <c r="K438" s="98"/>
      <c r="L438" s="100">
        <f t="shared" si="9"/>
        <v>0</v>
      </c>
      <c r="M438" s="101" t="s">
        <v>858</v>
      </c>
      <c r="N438" s="92"/>
      <c r="O438" s="65"/>
      <c r="P438" s="65"/>
      <c r="Q438" s="65"/>
      <c r="R438" s="65"/>
    </row>
    <row r="439" spans="1:18" s="64" customFormat="1" ht="24.75" customHeight="1">
      <c r="A439" s="94">
        <v>413</v>
      </c>
      <c r="B439" s="95" t="s">
        <v>1278</v>
      </c>
      <c r="C439" s="117" t="s">
        <v>147</v>
      </c>
      <c r="D439" s="118" t="s">
        <v>65</v>
      </c>
      <c r="E439" s="136" t="s">
        <v>1348</v>
      </c>
      <c r="F439" s="143" t="s">
        <v>1307</v>
      </c>
      <c r="G439" s="128"/>
      <c r="H439" s="99">
        <v>7</v>
      </c>
      <c r="I439" s="98"/>
      <c r="J439" s="98">
        <v>4</v>
      </c>
      <c r="K439" s="98"/>
      <c r="L439" s="100">
        <f t="shared" si="9"/>
        <v>3.1</v>
      </c>
      <c r="M439" s="101" t="s">
        <v>858</v>
      </c>
      <c r="N439" s="92" t="s">
        <v>1365</v>
      </c>
      <c r="O439" s="65"/>
      <c r="P439" s="65"/>
      <c r="Q439" s="65"/>
      <c r="R439" s="65"/>
    </row>
    <row r="440" spans="1:18" s="64" customFormat="1" ht="24.75" customHeight="1">
      <c r="A440" s="94">
        <v>414</v>
      </c>
      <c r="B440" s="95" t="s">
        <v>1279</v>
      </c>
      <c r="C440" s="117" t="s">
        <v>82</v>
      </c>
      <c r="D440" s="118" t="s">
        <v>146</v>
      </c>
      <c r="E440" s="94" t="s">
        <v>762</v>
      </c>
      <c r="F440" s="143" t="s">
        <v>1307</v>
      </c>
      <c r="G440" s="98">
        <v>8</v>
      </c>
      <c r="H440" s="99">
        <v>7</v>
      </c>
      <c r="I440" s="98">
        <v>8</v>
      </c>
      <c r="J440" s="98">
        <v>8</v>
      </c>
      <c r="K440" s="98"/>
      <c r="L440" s="100">
        <f t="shared" si="9"/>
        <v>7.9</v>
      </c>
      <c r="M440" s="101" t="s">
        <v>858</v>
      </c>
      <c r="N440" s="92"/>
      <c r="O440" s="65"/>
      <c r="P440" s="65"/>
      <c r="Q440" s="65"/>
      <c r="R440" s="65"/>
    </row>
    <row r="441" spans="1:18" s="64" customFormat="1" ht="24.75" customHeight="1">
      <c r="A441" s="94">
        <v>415</v>
      </c>
      <c r="B441" s="95" t="s">
        <v>1280</v>
      </c>
      <c r="C441" s="117" t="s">
        <v>307</v>
      </c>
      <c r="D441" s="118" t="s">
        <v>438</v>
      </c>
      <c r="E441" s="94" t="s">
        <v>763</v>
      </c>
      <c r="F441" s="143" t="s">
        <v>1307</v>
      </c>
      <c r="G441" s="128">
        <v>0</v>
      </c>
      <c r="H441" s="99">
        <v>8</v>
      </c>
      <c r="I441" s="98">
        <v>0</v>
      </c>
      <c r="J441" s="98">
        <v>9</v>
      </c>
      <c r="K441" s="98"/>
      <c r="L441" s="100">
        <f t="shared" si="9"/>
        <v>6.2</v>
      </c>
      <c r="M441" s="101" t="s">
        <v>858</v>
      </c>
      <c r="N441" s="92" t="s">
        <v>1366</v>
      </c>
      <c r="O441" s="65"/>
      <c r="P441" s="65"/>
      <c r="Q441" s="65"/>
      <c r="R441" s="65"/>
    </row>
    <row r="442" spans="1:18" s="66" customFormat="1" ht="24.75" customHeight="1">
      <c r="A442" s="114">
        <v>416</v>
      </c>
      <c r="B442" s="105" t="s">
        <v>1281</v>
      </c>
      <c r="C442" s="119" t="s">
        <v>302</v>
      </c>
      <c r="D442" s="120" t="s">
        <v>67</v>
      </c>
      <c r="E442" s="114" t="s">
        <v>755</v>
      </c>
      <c r="F442" s="144" t="s">
        <v>1307</v>
      </c>
      <c r="G442" s="115"/>
      <c r="H442" s="108"/>
      <c r="I442" s="115"/>
      <c r="J442" s="115"/>
      <c r="K442" s="115"/>
      <c r="L442" s="109">
        <f t="shared" si="9"/>
        <v>0</v>
      </c>
      <c r="M442" s="116" t="s">
        <v>858</v>
      </c>
      <c r="N442" s="111" t="s">
        <v>1361</v>
      </c>
      <c r="O442" s="79"/>
      <c r="P442" s="79"/>
      <c r="Q442" s="79"/>
      <c r="R442" s="79"/>
    </row>
    <row r="443" spans="1:18" s="64" customFormat="1" ht="24.75" customHeight="1">
      <c r="A443" s="94">
        <v>417</v>
      </c>
      <c r="B443" s="95" t="s">
        <v>1282</v>
      </c>
      <c r="C443" s="117" t="s">
        <v>39</v>
      </c>
      <c r="D443" s="118" t="s">
        <v>301</v>
      </c>
      <c r="E443" s="94" t="s">
        <v>754</v>
      </c>
      <c r="F443" s="143" t="s">
        <v>1307</v>
      </c>
      <c r="G443" s="98">
        <v>6</v>
      </c>
      <c r="H443" s="99">
        <v>8</v>
      </c>
      <c r="I443" s="98">
        <v>6</v>
      </c>
      <c r="J443" s="98">
        <v>7</v>
      </c>
      <c r="K443" s="98"/>
      <c r="L443" s="100">
        <f>ROUND(G443*$C$11+H443*$C$12+I443*$C$13+J443*$C$14+K443*$C$15,1)</f>
        <v>6.8</v>
      </c>
      <c r="M443" s="101" t="s">
        <v>858</v>
      </c>
      <c r="N443" s="92"/>
      <c r="O443" s="65"/>
      <c r="P443" s="65"/>
      <c r="Q443" s="65"/>
      <c r="R443" s="65"/>
    </row>
    <row r="444" spans="1:18" s="64" customFormat="1" ht="24.75" customHeight="1">
      <c r="A444" s="94">
        <v>418</v>
      </c>
      <c r="B444" s="95" t="s">
        <v>1283</v>
      </c>
      <c r="C444" s="117" t="s">
        <v>440</v>
      </c>
      <c r="D444" s="118" t="s">
        <v>121</v>
      </c>
      <c r="E444" s="94" t="s">
        <v>770</v>
      </c>
      <c r="F444" s="143" t="s">
        <v>1307</v>
      </c>
      <c r="G444" s="98">
        <v>7</v>
      </c>
      <c r="H444" s="99">
        <v>7</v>
      </c>
      <c r="I444" s="98">
        <v>7</v>
      </c>
      <c r="J444" s="98">
        <v>7</v>
      </c>
      <c r="K444" s="98"/>
      <c r="L444" s="100">
        <f>ROUND(G444*$C$11+H444*$C$12+I444*$C$13+J444*$C$14+K444*$C$15,1)</f>
        <v>7</v>
      </c>
      <c r="M444" s="101" t="s">
        <v>1334</v>
      </c>
      <c r="N444" s="92"/>
      <c r="O444" s="65"/>
      <c r="P444" s="65"/>
      <c r="Q444" s="65"/>
      <c r="R444" s="65"/>
    </row>
    <row r="445" spans="1:18" s="64" customFormat="1" ht="24.75" customHeight="1">
      <c r="A445" s="94">
        <v>419</v>
      </c>
      <c r="B445" s="95" t="s">
        <v>1284</v>
      </c>
      <c r="C445" s="117" t="s">
        <v>38</v>
      </c>
      <c r="D445" s="118" t="s">
        <v>193</v>
      </c>
      <c r="E445" s="94" t="s">
        <v>756</v>
      </c>
      <c r="F445" s="143" t="s">
        <v>1307</v>
      </c>
      <c r="G445" s="98">
        <v>7</v>
      </c>
      <c r="H445" s="99">
        <v>7</v>
      </c>
      <c r="I445" s="98">
        <v>7</v>
      </c>
      <c r="J445" s="98">
        <v>7</v>
      </c>
      <c r="K445" s="98"/>
      <c r="L445" s="100">
        <f>ROUND(G445*$C$11+H445*$C$12+I445*$C$13+J445*$C$14+K445*$C$15,1)</f>
        <v>7</v>
      </c>
      <c r="M445" s="101" t="s">
        <v>858</v>
      </c>
      <c r="N445" s="92"/>
      <c r="O445" s="65"/>
      <c r="P445" s="65"/>
      <c r="Q445" s="65"/>
      <c r="R445" s="65"/>
    </row>
    <row r="446" spans="1:18" s="64" customFormat="1" ht="24.75" customHeight="1">
      <c r="A446" s="94"/>
      <c r="B446" s="95"/>
      <c r="C446" s="117" t="s">
        <v>1337</v>
      </c>
      <c r="D446" s="118" t="s">
        <v>44</v>
      </c>
      <c r="E446" s="94" t="s">
        <v>1338</v>
      </c>
      <c r="F446" s="143" t="s">
        <v>1307</v>
      </c>
      <c r="G446" s="98">
        <v>8</v>
      </c>
      <c r="H446" s="99">
        <v>7</v>
      </c>
      <c r="I446" s="98">
        <v>7.5</v>
      </c>
      <c r="J446" s="98">
        <v>7</v>
      </c>
      <c r="K446" s="98"/>
      <c r="L446" s="100">
        <f>ROUND(G446*$C$11+H446*$C$12+I446*$C$13+J446*$C$14+K446*$C$15,1)</f>
        <v>7.2</v>
      </c>
      <c r="M446" s="101" t="s">
        <v>858</v>
      </c>
      <c r="N446" s="92" t="s">
        <v>1369</v>
      </c>
      <c r="O446" s="65"/>
      <c r="P446" s="65"/>
      <c r="Q446" s="65"/>
      <c r="R446" s="65"/>
    </row>
    <row r="447" spans="1:18" s="64" customFormat="1" ht="24.75" customHeight="1">
      <c r="A447" s="94"/>
      <c r="B447" s="95"/>
      <c r="C447" s="117" t="s">
        <v>205</v>
      </c>
      <c r="D447" s="118" t="s">
        <v>45</v>
      </c>
      <c r="E447" s="137">
        <v>26034</v>
      </c>
      <c r="F447" s="143" t="s">
        <v>848</v>
      </c>
      <c r="G447" s="98">
        <v>7</v>
      </c>
      <c r="H447" s="99"/>
      <c r="I447" s="98"/>
      <c r="J447" s="98"/>
      <c r="K447" s="98"/>
      <c r="L447" s="100"/>
      <c r="M447" s="101" t="s">
        <v>1387</v>
      </c>
      <c r="N447" s="92"/>
      <c r="O447" s="65"/>
      <c r="P447" s="65"/>
      <c r="Q447" s="65"/>
      <c r="R447" s="65"/>
    </row>
    <row r="448" spans="1:18" s="64" customFormat="1" ht="24.75" customHeight="1">
      <c r="A448" s="94"/>
      <c r="B448" s="95"/>
      <c r="C448" s="117" t="s">
        <v>1388</v>
      </c>
      <c r="D448" s="118" t="s">
        <v>419</v>
      </c>
      <c r="E448" s="137">
        <v>29042</v>
      </c>
      <c r="F448" s="143" t="s">
        <v>1389</v>
      </c>
      <c r="G448" s="98">
        <v>7</v>
      </c>
      <c r="H448" s="99">
        <v>7</v>
      </c>
      <c r="I448" s="98">
        <v>7</v>
      </c>
      <c r="J448" s="98"/>
      <c r="K448" s="98"/>
      <c r="L448" s="100"/>
      <c r="M448" s="101" t="s">
        <v>1390</v>
      </c>
      <c r="N448" s="92"/>
      <c r="O448" s="65"/>
      <c r="P448" s="65"/>
      <c r="Q448" s="65"/>
      <c r="R448" s="65"/>
    </row>
    <row r="449" spans="1:18" s="64" customFormat="1" ht="24.75" customHeight="1">
      <c r="A449" s="94"/>
      <c r="B449" s="95"/>
      <c r="C449" s="117" t="s">
        <v>1391</v>
      </c>
      <c r="D449" s="118" t="s">
        <v>100</v>
      </c>
      <c r="E449" s="137">
        <v>27065</v>
      </c>
      <c r="F449" s="143" t="s">
        <v>859</v>
      </c>
      <c r="G449" s="98">
        <v>6</v>
      </c>
      <c r="H449" s="99"/>
      <c r="I449" s="98">
        <v>2</v>
      </c>
      <c r="J449" s="98"/>
      <c r="K449" s="98"/>
      <c r="L449" s="100"/>
      <c r="M449" s="101" t="s">
        <v>1392</v>
      </c>
      <c r="N449" s="92"/>
      <c r="O449" s="65"/>
      <c r="P449" s="65"/>
      <c r="Q449" s="65"/>
      <c r="R449" s="65"/>
    </row>
    <row r="450" spans="1:18" s="64" customFormat="1" ht="24.75" customHeight="1">
      <c r="A450" s="94"/>
      <c r="B450" s="95"/>
      <c r="C450" s="133" t="s">
        <v>1393</v>
      </c>
      <c r="D450" s="118"/>
      <c r="E450" s="121">
        <v>30966</v>
      </c>
      <c r="F450" s="149" t="s">
        <v>846</v>
      </c>
      <c r="G450" s="98"/>
      <c r="H450" s="99"/>
      <c r="I450" s="98"/>
      <c r="J450" s="98"/>
      <c r="K450" s="98"/>
      <c r="L450" s="100"/>
      <c r="M450" s="101" t="s">
        <v>1392</v>
      </c>
      <c r="N450" s="92"/>
      <c r="O450" s="65"/>
      <c r="P450" s="65"/>
      <c r="Q450" s="65"/>
      <c r="R450" s="65"/>
    </row>
    <row r="451" spans="1:18" s="64" customFormat="1" ht="29.25" customHeight="1">
      <c r="A451" s="94"/>
      <c r="B451" s="95"/>
      <c r="C451" s="117" t="s">
        <v>1385</v>
      </c>
      <c r="D451" s="118" t="s">
        <v>47</v>
      </c>
      <c r="E451" s="137">
        <v>31022</v>
      </c>
      <c r="F451" s="143" t="s">
        <v>850</v>
      </c>
      <c r="G451" s="98">
        <v>7</v>
      </c>
      <c r="H451" s="99">
        <v>8</v>
      </c>
      <c r="I451" s="98">
        <v>5</v>
      </c>
      <c r="J451" s="98">
        <v>7</v>
      </c>
      <c r="K451" s="98"/>
      <c r="L451" s="100">
        <f>ROUND(G451*$C$11+H451*$C$12+I451*$C$13+J451*$C$14+K451*$C$15,1)</f>
        <v>6.7</v>
      </c>
      <c r="M451" s="101" t="s">
        <v>1386</v>
      </c>
      <c r="N451" s="92"/>
      <c r="O451" s="65"/>
      <c r="P451" s="65"/>
      <c r="Q451" s="65"/>
      <c r="R451" s="65"/>
    </row>
    <row r="452" spans="1:13" ht="15" customHeight="1">
      <c r="A452" s="291"/>
      <c r="B452" s="291"/>
      <c r="C452" s="291"/>
      <c r="D452" s="291"/>
      <c r="E452" s="290" t="s">
        <v>1308</v>
      </c>
      <c r="F452" s="290"/>
      <c r="G452" s="290"/>
      <c r="H452" s="290"/>
      <c r="I452" s="290"/>
      <c r="J452" s="290"/>
      <c r="K452" s="290"/>
      <c r="L452" s="138"/>
      <c r="M452" s="139"/>
    </row>
    <row r="453" spans="1:13" ht="15" customHeight="1">
      <c r="A453" s="291"/>
      <c r="B453" s="291"/>
      <c r="C453" s="291"/>
      <c r="D453" s="291"/>
      <c r="E453" s="291" t="s">
        <v>1309</v>
      </c>
      <c r="F453" s="291"/>
      <c r="G453" s="291"/>
      <c r="H453" s="291"/>
      <c r="I453" s="291"/>
      <c r="J453" s="291"/>
      <c r="K453" s="291"/>
      <c r="L453" s="138"/>
      <c r="M453" s="139"/>
    </row>
    <row r="454" spans="5:13" ht="15" customHeight="1">
      <c r="E454" s="290" t="s">
        <v>1310</v>
      </c>
      <c r="F454" s="290"/>
      <c r="G454" s="290"/>
      <c r="H454" s="290"/>
      <c r="I454" s="290"/>
      <c r="J454" s="290"/>
      <c r="K454" s="290"/>
      <c r="L454" s="138"/>
      <c r="M454" s="139"/>
    </row>
  </sheetData>
  <sheetProtection/>
  <mergeCells count="23">
    <mergeCell ref="A5:L5"/>
    <mergeCell ref="A6:L6"/>
    <mergeCell ref="G14:L14"/>
    <mergeCell ref="A1:D1"/>
    <mergeCell ref="A2:D2"/>
    <mergeCell ref="A3:D3"/>
    <mergeCell ref="E454:K454"/>
    <mergeCell ref="A452:D452"/>
    <mergeCell ref="E452:K452"/>
    <mergeCell ref="A453:D453"/>
    <mergeCell ref="E453:K453"/>
    <mergeCell ref="G18:G19"/>
    <mergeCell ref="A18:A19"/>
    <mergeCell ref="M18:M19"/>
    <mergeCell ref="L18:L19"/>
    <mergeCell ref="B18:B19"/>
    <mergeCell ref="C18:D19"/>
    <mergeCell ref="F18:F19"/>
    <mergeCell ref="K18:K19"/>
    <mergeCell ref="J18:J19"/>
    <mergeCell ref="H18:H19"/>
    <mergeCell ref="I18:I19"/>
    <mergeCell ref="E18:E19"/>
  </mergeCells>
  <dataValidations count="4">
    <dataValidation type="textLength" allowBlank="1" showInputMessage="1" showErrorMessage="1" sqref="E84:E110 C43:C65 E74:E82 C23:C41 B18:E19 D20:D25 C20:C21 E20:E71 D27:D71 C67:C71 C74:D110">
      <formula1>11111</formula1>
      <formula2>111111</formula2>
    </dataValidation>
    <dataValidation type="whole" allowBlank="1" showInputMessage="1" showErrorMessage="1" errorTitle="Lưu ý" error="Không sửa chữa khu vực này. Thanks" sqref="L18:L451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</dataValidations>
  <printOptions horizontalCentered="1" verticalCentered="1"/>
  <pageMargins left="0.24" right="0.17" top="0.19" bottom="0.19" header="0.27" footer="0.16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1"/>
  <sheetViews>
    <sheetView view="pageBreakPreview" zoomScaleSheetLayoutView="100" zoomScalePageLayoutView="0" workbookViewId="0" topLeftCell="C102">
      <selection activeCell="F110" sqref="F110"/>
    </sheetView>
  </sheetViews>
  <sheetFormatPr defaultColWidth="8.796875" defaultRowHeight="15" customHeight="1"/>
  <cols>
    <col min="1" max="1" width="4.09765625" style="3" customWidth="1"/>
    <col min="2" max="2" width="8.3984375" style="1" customWidth="1"/>
    <col min="3" max="3" width="15.59765625" style="3" customWidth="1"/>
    <col min="4" max="4" width="6.69921875" style="1" customWidth="1"/>
    <col min="5" max="5" width="8.69921875" style="1" customWidth="1"/>
    <col min="6" max="6" width="14" style="77" customWidth="1"/>
    <col min="7" max="7" width="6.59765625" style="3" customWidth="1"/>
    <col min="8" max="8" width="6.5" style="62" customWidth="1"/>
    <col min="9" max="9" width="6.59765625" style="3" customWidth="1"/>
    <col min="10" max="10" width="7" style="3" customWidth="1"/>
    <col min="11" max="11" width="1.390625" style="3" customWidth="1"/>
    <col min="12" max="12" width="7" style="70" customWidth="1"/>
    <col min="13" max="17" width="9" style="85" customWidth="1"/>
    <col min="18" max="16384" width="9" style="1" customWidth="1"/>
  </cols>
  <sheetData>
    <row r="1" spans="1:11" ht="15" customHeight="1">
      <c r="A1" s="260" t="s">
        <v>30</v>
      </c>
      <c r="B1" s="260"/>
      <c r="C1" s="260"/>
      <c r="D1" s="260"/>
      <c r="E1" s="53"/>
      <c r="G1" s="53"/>
      <c r="H1" s="58"/>
      <c r="I1" s="53"/>
      <c r="J1" s="53"/>
      <c r="K1" s="53"/>
    </row>
    <row r="2" spans="1:12" ht="15" customHeight="1">
      <c r="A2" s="256" t="s">
        <v>31</v>
      </c>
      <c r="B2" s="256"/>
      <c r="C2" s="256"/>
      <c r="D2" s="256"/>
      <c r="E2" s="57"/>
      <c r="G2" s="54"/>
      <c r="H2" s="59"/>
      <c r="I2" s="54"/>
      <c r="J2" s="54"/>
      <c r="K2" s="54"/>
      <c r="L2" s="71"/>
    </row>
    <row r="3" spans="1:11" ht="15" customHeight="1">
      <c r="A3" s="256" t="s">
        <v>32</v>
      </c>
      <c r="B3" s="256"/>
      <c r="C3" s="256"/>
      <c r="D3" s="256"/>
      <c r="E3" s="57"/>
      <c r="G3" s="7"/>
      <c r="H3" s="60"/>
      <c r="I3" s="7"/>
      <c r="J3" s="7"/>
      <c r="K3" s="7"/>
    </row>
    <row r="4" spans="1:11" ht="15" customHeight="1">
      <c r="A4" s="7"/>
      <c r="B4" s="6"/>
      <c r="C4" s="7"/>
      <c r="D4" s="6"/>
      <c r="E4" s="6"/>
      <c r="G4" s="7"/>
      <c r="H4" s="60"/>
      <c r="I4" s="7"/>
      <c r="J4" s="7"/>
      <c r="K4" s="7"/>
    </row>
    <row r="5" spans="1:12" ht="15.75">
      <c r="A5" s="13" t="s">
        <v>7</v>
      </c>
      <c r="B5" s="13"/>
      <c r="C5" s="13"/>
      <c r="D5" s="13"/>
      <c r="E5" s="8"/>
      <c r="G5" s="8"/>
      <c r="H5" s="8"/>
      <c r="I5" s="8"/>
      <c r="J5" s="8"/>
      <c r="K5" s="8"/>
      <c r="L5" s="8"/>
    </row>
    <row r="6" spans="1:12" ht="15">
      <c r="A6" s="258" t="s">
        <v>6</v>
      </c>
      <c r="B6" s="258"/>
      <c r="C6" s="258"/>
      <c r="D6" s="258"/>
      <c r="E6" s="258"/>
      <c r="F6" s="258"/>
      <c r="G6" s="87"/>
      <c r="H6" s="87"/>
      <c r="I6" s="87"/>
      <c r="J6" s="87"/>
      <c r="K6" s="87"/>
      <c r="L6" s="87"/>
    </row>
    <row r="7" spans="1:12" ht="16.5">
      <c r="A7" s="4"/>
      <c r="B7" s="4"/>
      <c r="C7" s="4"/>
      <c r="D7" s="4"/>
      <c r="E7" s="4"/>
      <c r="G7" s="4"/>
      <c r="H7" s="4"/>
      <c r="I7" s="4"/>
      <c r="J7" s="4"/>
      <c r="K7" s="4"/>
      <c r="L7" s="72"/>
    </row>
    <row r="8" spans="1:12" ht="16.5">
      <c r="A8" s="4"/>
      <c r="B8" s="5"/>
      <c r="C8" s="4"/>
      <c r="D8" s="4"/>
      <c r="E8" s="4"/>
      <c r="G8" s="4"/>
      <c r="H8" s="4"/>
      <c r="I8" s="4"/>
      <c r="J8" s="4"/>
      <c r="K8" s="4"/>
      <c r="L8" s="72"/>
    </row>
    <row r="9" spans="2:19" ht="21.75" customHeight="1">
      <c r="B9" s="14" t="s">
        <v>0</v>
      </c>
      <c r="C9" s="10"/>
      <c r="D9" s="11"/>
      <c r="F9" s="70"/>
      <c r="G9" s="69" t="s">
        <v>35</v>
      </c>
      <c r="H9" s="12"/>
      <c r="I9" s="12"/>
      <c r="P9" s="12"/>
      <c r="Q9" s="12"/>
      <c r="R9" s="12"/>
      <c r="S9" s="72"/>
    </row>
    <row r="10" spans="1:19" s="20" customFormat="1" ht="18" customHeight="1">
      <c r="A10" s="63"/>
      <c r="B10" s="21" t="s">
        <v>1311</v>
      </c>
      <c r="C10" s="21" t="s">
        <v>29</v>
      </c>
      <c r="D10" s="22"/>
      <c r="F10" s="20" t="s">
        <v>20</v>
      </c>
      <c r="G10" s="69"/>
      <c r="H10" s="23" t="s">
        <v>1318</v>
      </c>
      <c r="I10" s="23"/>
      <c r="P10" s="23"/>
      <c r="Q10" s="23"/>
      <c r="R10" s="23"/>
      <c r="S10" s="73"/>
    </row>
    <row r="11" spans="1:19" s="20" customFormat="1" ht="18" customHeight="1">
      <c r="A11" s="63"/>
      <c r="B11" s="24" t="s">
        <v>10</v>
      </c>
      <c r="C11" s="25">
        <v>0.1</v>
      </c>
      <c r="D11" s="26"/>
      <c r="F11" s="20" t="s">
        <v>21</v>
      </c>
      <c r="G11" s="83"/>
      <c r="H11" s="26">
        <v>3</v>
      </c>
      <c r="I11" s="61"/>
      <c r="P11" s="26"/>
      <c r="Q11" s="26"/>
      <c r="R11" s="26"/>
      <c r="S11" s="74"/>
    </row>
    <row r="12" spans="1:19" s="20" customFormat="1" ht="18" customHeight="1">
      <c r="A12" s="63"/>
      <c r="B12" s="24" t="s">
        <v>11</v>
      </c>
      <c r="C12" s="25">
        <v>0.1</v>
      </c>
      <c r="D12" s="26"/>
      <c r="F12" s="20" t="s">
        <v>27</v>
      </c>
      <c r="G12" s="83"/>
      <c r="H12" s="26"/>
      <c r="I12" s="61"/>
      <c r="P12" s="26"/>
      <c r="Q12" s="26"/>
      <c r="R12" s="26"/>
      <c r="S12" s="74"/>
    </row>
    <row r="13" spans="1:19" s="20" customFormat="1" ht="18" customHeight="1">
      <c r="A13" s="63"/>
      <c r="B13" s="24" t="s">
        <v>12</v>
      </c>
      <c r="C13" s="25">
        <v>0.2</v>
      </c>
      <c r="D13" s="26"/>
      <c r="F13" s="20" t="s">
        <v>22</v>
      </c>
      <c r="G13" s="83"/>
      <c r="H13" s="26" t="s">
        <v>1319</v>
      </c>
      <c r="I13" s="61"/>
      <c r="P13" s="26"/>
      <c r="Q13" s="26"/>
      <c r="R13" s="26"/>
      <c r="S13" s="74"/>
    </row>
    <row r="14" spans="1:19" s="20" customFormat="1" ht="18" customHeight="1">
      <c r="A14" s="63"/>
      <c r="B14" s="24" t="s">
        <v>13</v>
      </c>
      <c r="C14" s="25">
        <v>0.6</v>
      </c>
      <c r="D14" s="26"/>
      <c r="F14" s="20" t="s">
        <v>1321</v>
      </c>
      <c r="G14" s="83"/>
      <c r="H14" s="294" t="s">
        <v>1397</v>
      </c>
      <c r="I14" s="294"/>
      <c r="P14" s="142"/>
      <c r="Q14" s="142"/>
      <c r="R14" s="142"/>
      <c r="S14" s="142"/>
    </row>
    <row r="15" spans="1:19" s="20" customFormat="1" ht="18" customHeight="1">
      <c r="A15" s="63"/>
      <c r="B15" s="24" t="s">
        <v>14</v>
      </c>
      <c r="C15" s="25"/>
      <c r="D15" s="26"/>
      <c r="F15" s="20" t="s">
        <v>26</v>
      </c>
      <c r="G15" s="69"/>
      <c r="H15" s="26" t="s">
        <v>1320</v>
      </c>
      <c r="I15" s="61"/>
      <c r="P15" s="26"/>
      <c r="Q15" s="26"/>
      <c r="R15" s="26"/>
      <c r="S15" s="74"/>
    </row>
    <row r="16" spans="1:19" s="20" customFormat="1" ht="18" customHeight="1">
      <c r="A16" s="63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F16" s="20" t="s">
        <v>24</v>
      </c>
      <c r="G16" s="69"/>
      <c r="H16" s="35"/>
      <c r="I16" s="22"/>
      <c r="P16" s="22"/>
      <c r="Q16" s="22"/>
      <c r="R16" s="22"/>
      <c r="S16" s="75"/>
    </row>
    <row r="17" spans="2:12" ht="15" customHeight="1">
      <c r="B17" s="9"/>
      <c r="C17" s="10"/>
      <c r="D17" s="10"/>
      <c r="E17" s="10"/>
      <c r="G17" s="10"/>
      <c r="H17" s="10"/>
      <c r="I17" s="10"/>
      <c r="J17" s="10"/>
      <c r="K17" s="10"/>
      <c r="L17" s="76"/>
    </row>
    <row r="18" spans="1:17" s="64" customFormat="1" ht="15" customHeight="1">
      <c r="A18" s="297" t="s">
        <v>17</v>
      </c>
      <c r="B18" s="299" t="s">
        <v>18</v>
      </c>
      <c r="C18" s="301" t="s">
        <v>8</v>
      </c>
      <c r="D18" s="302"/>
      <c r="E18" s="299" t="s">
        <v>9</v>
      </c>
      <c r="F18" s="305" t="s">
        <v>1317</v>
      </c>
      <c r="G18" s="295" t="s">
        <v>1399</v>
      </c>
      <c r="H18" s="295" t="s">
        <v>2</v>
      </c>
      <c r="I18" s="295" t="s">
        <v>3</v>
      </c>
      <c r="J18" s="295" t="s">
        <v>4</v>
      </c>
      <c r="K18" s="91"/>
      <c r="L18" s="295" t="s">
        <v>15</v>
      </c>
      <c r="M18" s="92"/>
      <c r="N18" s="65"/>
      <c r="O18" s="65"/>
      <c r="P18" s="65"/>
      <c r="Q18" s="65"/>
    </row>
    <row r="19" spans="1:17" s="64" customFormat="1" ht="38.25" customHeight="1">
      <c r="A19" s="298"/>
      <c r="B19" s="300"/>
      <c r="C19" s="303"/>
      <c r="D19" s="304"/>
      <c r="E19" s="300"/>
      <c r="F19" s="306"/>
      <c r="G19" s="296"/>
      <c r="H19" s="296"/>
      <c r="I19" s="296"/>
      <c r="J19" s="296"/>
      <c r="K19" s="93"/>
      <c r="L19" s="296"/>
      <c r="M19" s="92"/>
      <c r="N19" s="65"/>
      <c r="O19" s="65"/>
      <c r="P19" s="65"/>
      <c r="Q19" s="65"/>
    </row>
    <row r="20" spans="1:17" s="64" customFormat="1" ht="18.75" customHeight="1">
      <c r="A20" s="94">
        <v>1</v>
      </c>
      <c r="B20" s="95" t="s">
        <v>867</v>
      </c>
      <c r="C20" s="96" t="s">
        <v>108</v>
      </c>
      <c r="D20" s="97" t="s">
        <v>37</v>
      </c>
      <c r="E20" s="94" t="s">
        <v>458</v>
      </c>
      <c r="F20" s="101" t="s">
        <v>845</v>
      </c>
      <c r="G20" s="98">
        <v>0</v>
      </c>
      <c r="H20" s="99">
        <v>8</v>
      </c>
      <c r="I20" s="98">
        <v>0</v>
      </c>
      <c r="J20" s="98">
        <v>7</v>
      </c>
      <c r="K20" s="98"/>
      <c r="L20" s="100">
        <f aca="true" t="shared" si="0" ref="L20:L85">ROUND(G20*$C$11+H20*$C$12+I20*$C$13+J20*$C$14+K20*$C$15,1)</f>
        <v>5</v>
      </c>
      <c r="M20" s="92" t="s">
        <v>1339</v>
      </c>
      <c r="N20" s="65"/>
      <c r="O20" s="65"/>
      <c r="P20" s="65"/>
      <c r="Q20" s="65"/>
    </row>
    <row r="21" spans="1:17" s="64" customFormat="1" ht="18.75" customHeight="1">
      <c r="A21" s="94"/>
      <c r="B21" s="95"/>
      <c r="C21" s="96"/>
      <c r="D21" s="97"/>
      <c r="E21" s="94"/>
      <c r="F21" s="101" t="s">
        <v>1403</v>
      </c>
      <c r="G21" s="98">
        <v>6</v>
      </c>
      <c r="H21" s="99">
        <v>5</v>
      </c>
      <c r="I21" s="98">
        <v>5</v>
      </c>
      <c r="J21" s="98">
        <v>6</v>
      </c>
      <c r="K21" s="98"/>
      <c r="L21" s="100">
        <f t="shared" si="0"/>
        <v>5.7</v>
      </c>
      <c r="M21" s="92"/>
      <c r="N21" s="65"/>
      <c r="O21" s="65"/>
      <c r="P21" s="65"/>
      <c r="Q21" s="65"/>
    </row>
    <row r="22" spans="1:17" s="64" customFormat="1" ht="18.75" customHeight="1">
      <c r="A22" s="94"/>
      <c r="B22" s="95"/>
      <c r="C22" s="96" t="s">
        <v>1404</v>
      </c>
      <c r="D22" s="97" t="s">
        <v>1405</v>
      </c>
      <c r="E22" s="94"/>
      <c r="F22" s="101"/>
      <c r="G22" s="98">
        <v>6</v>
      </c>
      <c r="H22" s="99">
        <v>8</v>
      </c>
      <c r="I22" s="98">
        <v>5</v>
      </c>
      <c r="J22" s="98">
        <v>6</v>
      </c>
      <c r="K22" s="98"/>
      <c r="L22" s="100">
        <f t="shared" si="0"/>
        <v>6</v>
      </c>
      <c r="M22" s="92"/>
      <c r="N22" s="65"/>
      <c r="O22" s="65"/>
      <c r="P22" s="65"/>
      <c r="Q22" s="65"/>
    </row>
    <row r="23" spans="1:17" s="64" customFormat="1" ht="18.75" customHeight="1">
      <c r="A23" s="94">
        <v>2</v>
      </c>
      <c r="B23" s="95" t="s">
        <v>868</v>
      </c>
      <c r="C23" s="96" t="s">
        <v>106</v>
      </c>
      <c r="D23" s="97" t="s">
        <v>107</v>
      </c>
      <c r="E23" s="94" t="s">
        <v>457</v>
      </c>
      <c r="F23" s="101" t="s">
        <v>845</v>
      </c>
      <c r="G23" s="102">
        <v>7</v>
      </c>
      <c r="H23" s="102">
        <v>8</v>
      </c>
      <c r="I23" s="103">
        <v>7</v>
      </c>
      <c r="J23" s="102">
        <v>5</v>
      </c>
      <c r="K23" s="102"/>
      <c r="L23" s="100">
        <f t="shared" si="0"/>
        <v>5.9</v>
      </c>
      <c r="M23" s="92" t="s">
        <v>1341</v>
      </c>
      <c r="N23" s="65"/>
      <c r="O23" s="65"/>
      <c r="P23" s="65"/>
      <c r="Q23" s="65"/>
    </row>
    <row r="24" spans="1:17" s="64" customFormat="1" ht="18.75" customHeight="1">
      <c r="A24" s="94">
        <v>3</v>
      </c>
      <c r="B24" s="95" t="s">
        <v>869</v>
      </c>
      <c r="C24" s="96" t="s">
        <v>357</v>
      </c>
      <c r="D24" s="97" t="s">
        <v>48</v>
      </c>
      <c r="E24" s="94" t="s">
        <v>468</v>
      </c>
      <c r="F24" s="101" t="s">
        <v>845</v>
      </c>
      <c r="G24" s="98">
        <v>7</v>
      </c>
      <c r="H24" s="99">
        <v>8</v>
      </c>
      <c r="I24" s="98">
        <v>7</v>
      </c>
      <c r="J24" s="98">
        <v>9</v>
      </c>
      <c r="K24" s="98"/>
      <c r="L24" s="100">
        <f t="shared" si="0"/>
        <v>8.3</v>
      </c>
      <c r="M24" s="92"/>
      <c r="N24" s="65"/>
      <c r="O24" s="65"/>
      <c r="P24" s="65"/>
      <c r="Q24" s="65"/>
    </row>
    <row r="25" spans="1:17" s="64" customFormat="1" ht="18.75" customHeight="1">
      <c r="A25" s="94">
        <v>4</v>
      </c>
      <c r="B25" s="95" t="s">
        <v>870</v>
      </c>
      <c r="C25" s="96" t="s">
        <v>38</v>
      </c>
      <c r="D25" s="97" t="s">
        <v>111</v>
      </c>
      <c r="E25" s="94" t="s">
        <v>462</v>
      </c>
      <c r="F25" s="101" t="s">
        <v>845</v>
      </c>
      <c r="G25" s="98">
        <v>6</v>
      </c>
      <c r="H25" s="99">
        <v>8</v>
      </c>
      <c r="I25" s="98">
        <v>5</v>
      </c>
      <c r="J25" s="98">
        <v>5</v>
      </c>
      <c r="K25" s="98"/>
      <c r="L25" s="100">
        <f t="shared" si="0"/>
        <v>5.4</v>
      </c>
      <c r="M25" s="92" t="s">
        <v>1341</v>
      </c>
      <c r="N25" s="65"/>
      <c r="O25" s="65"/>
      <c r="P25" s="65"/>
      <c r="Q25" s="65"/>
    </row>
    <row r="26" spans="1:13" s="79" customFormat="1" ht="18.75" customHeight="1">
      <c r="A26" s="104">
        <v>5</v>
      </c>
      <c r="B26" s="105" t="s">
        <v>871</v>
      </c>
      <c r="C26" s="106" t="s">
        <v>117</v>
      </c>
      <c r="D26" s="107" t="s">
        <v>111</v>
      </c>
      <c r="E26" s="104" t="s">
        <v>471</v>
      </c>
      <c r="F26" s="110" t="s">
        <v>845</v>
      </c>
      <c r="G26" s="108"/>
      <c r="H26" s="108"/>
      <c r="I26" s="108"/>
      <c r="J26" s="108"/>
      <c r="K26" s="108"/>
      <c r="L26" s="109">
        <f t="shared" si="0"/>
        <v>0</v>
      </c>
      <c r="M26" s="111" t="s">
        <v>1370</v>
      </c>
    </row>
    <row r="27" spans="1:17" s="64" customFormat="1" ht="18.75" customHeight="1">
      <c r="A27" s="94">
        <v>6</v>
      </c>
      <c r="B27" s="95" t="s">
        <v>872</v>
      </c>
      <c r="C27" s="96" t="s">
        <v>355</v>
      </c>
      <c r="D27" s="97" t="s">
        <v>49</v>
      </c>
      <c r="E27" s="94" t="s">
        <v>459</v>
      </c>
      <c r="F27" s="101" t="s">
        <v>845</v>
      </c>
      <c r="G27" s="98">
        <v>7</v>
      </c>
      <c r="H27" s="99">
        <v>8</v>
      </c>
      <c r="I27" s="98">
        <v>6.5</v>
      </c>
      <c r="J27" s="98">
        <v>7</v>
      </c>
      <c r="K27" s="98"/>
      <c r="L27" s="100">
        <f t="shared" si="0"/>
        <v>7</v>
      </c>
      <c r="M27" s="92"/>
      <c r="N27" s="65"/>
      <c r="O27" s="65"/>
      <c r="P27" s="65"/>
      <c r="Q27" s="65"/>
    </row>
    <row r="28" spans="1:13" s="65" customFormat="1" ht="18.75" customHeight="1">
      <c r="A28" s="112">
        <v>7</v>
      </c>
      <c r="B28" s="95" t="s">
        <v>873</v>
      </c>
      <c r="C28" s="96" t="s">
        <v>155</v>
      </c>
      <c r="D28" s="97" t="s">
        <v>53</v>
      </c>
      <c r="E28" s="112" t="s">
        <v>467</v>
      </c>
      <c r="F28" s="113" t="s">
        <v>845</v>
      </c>
      <c r="G28" s="99">
        <v>7</v>
      </c>
      <c r="H28" s="99">
        <v>8</v>
      </c>
      <c r="I28" s="99">
        <v>7</v>
      </c>
      <c r="J28" s="99">
        <v>5</v>
      </c>
      <c r="K28" s="99"/>
      <c r="L28" s="100">
        <f t="shared" si="0"/>
        <v>5.9</v>
      </c>
      <c r="M28" s="92" t="s">
        <v>1341</v>
      </c>
    </row>
    <row r="29" spans="1:17" s="64" customFormat="1" ht="18.75" customHeight="1">
      <c r="A29" s="94">
        <v>8</v>
      </c>
      <c r="B29" s="95" t="s">
        <v>874</v>
      </c>
      <c r="C29" s="96" t="s">
        <v>123</v>
      </c>
      <c r="D29" s="97" t="s">
        <v>124</v>
      </c>
      <c r="E29" s="94" t="s">
        <v>476</v>
      </c>
      <c r="F29" s="101" t="s">
        <v>845</v>
      </c>
      <c r="G29" s="98">
        <v>6</v>
      </c>
      <c r="H29" s="99">
        <v>8</v>
      </c>
      <c r="I29" s="98">
        <v>6</v>
      </c>
      <c r="J29" s="98">
        <v>8</v>
      </c>
      <c r="K29" s="98"/>
      <c r="L29" s="100">
        <f t="shared" si="0"/>
        <v>7.4</v>
      </c>
      <c r="M29" s="92" t="s">
        <v>1341</v>
      </c>
      <c r="N29" s="65"/>
      <c r="O29" s="65"/>
      <c r="P29" s="65"/>
      <c r="Q29" s="65"/>
    </row>
    <row r="30" spans="1:17" s="64" customFormat="1" ht="18.75" customHeight="1">
      <c r="A30" s="94">
        <v>9</v>
      </c>
      <c r="B30" s="95" t="s">
        <v>875</v>
      </c>
      <c r="C30" s="96" t="s">
        <v>109</v>
      </c>
      <c r="D30" s="97" t="s">
        <v>56</v>
      </c>
      <c r="E30" s="94" t="s">
        <v>460</v>
      </c>
      <c r="F30" s="101" t="s">
        <v>845</v>
      </c>
      <c r="G30" s="98">
        <v>6</v>
      </c>
      <c r="H30" s="99">
        <v>8</v>
      </c>
      <c r="I30" s="98">
        <v>6</v>
      </c>
      <c r="J30" s="98">
        <v>7</v>
      </c>
      <c r="K30" s="98"/>
      <c r="L30" s="100">
        <f t="shared" si="0"/>
        <v>6.8</v>
      </c>
      <c r="M30" s="92" t="s">
        <v>1341</v>
      </c>
      <c r="N30" s="65"/>
      <c r="O30" s="65"/>
      <c r="P30" s="65"/>
      <c r="Q30" s="65"/>
    </row>
    <row r="31" spans="1:17" s="64" customFormat="1" ht="18.75" customHeight="1">
      <c r="A31" s="94">
        <v>10</v>
      </c>
      <c r="B31" s="95" t="s">
        <v>876</v>
      </c>
      <c r="C31" s="96" t="s">
        <v>122</v>
      </c>
      <c r="D31" s="97" t="s">
        <v>57</v>
      </c>
      <c r="E31" s="94" t="s">
        <v>475</v>
      </c>
      <c r="F31" s="101" t="s">
        <v>845</v>
      </c>
      <c r="G31" s="98">
        <v>6</v>
      </c>
      <c r="H31" s="99">
        <v>9</v>
      </c>
      <c r="I31" s="98">
        <v>3</v>
      </c>
      <c r="J31" s="98">
        <v>5</v>
      </c>
      <c r="K31" s="98"/>
      <c r="L31" s="100">
        <f t="shared" si="0"/>
        <v>5.1</v>
      </c>
      <c r="M31" s="92" t="s">
        <v>1341</v>
      </c>
      <c r="N31" s="65"/>
      <c r="O31" s="65"/>
      <c r="P31" s="65"/>
      <c r="Q31" s="65"/>
    </row>
    <row r="32" spans="1:13" s="65" customFormat="1" ht="18.75" customHeight="1">
      <c r="A32" s="112">
        <v>11</v>
      </c>
      <c r="B32" s="95" t="s">
        <v>877</v>
      </c>
      <c r="C32" s="96" t="s">
        <v>42</v>
      </c>
      <c r="D32" s="97" t="s">
        <v>113</v>
      </c>
      <c r="E32" s="112" t="s">
        <v>464</v>
      </c>
      <c r="F32" s="113" t="s">
        <v>845</v>
      </c>
      <c r="G32" s="99">
        <v>7</v>
      </c>
      <c r="H32" s="99">
        <v>8</v>
      </c>
      <c r="I32" s="99">
        <v>7</v>
      </c>
      <c r="J32" s="99">
        <v>8</v>
      </c>
      <c r="K32" s="99"/>
      <c r="L32" s="100">
        <f t="shared" si="0"/>
        <v>7.7</v>
      </c>
      <c r="M32" s="92" t="s">
        <v>1341</v>
      </c>
    </row>
    <row r="33" spans="1:17" s="64" customFormat="1" ht="18.75" customHeight="1">
      <c r="A33" s="94">
        <v>12</v>
      </c>
      <c r="B33" s="95" t="s">
        <v>878</v>
      </c>
      <c r="C33" s="96" t="s">
        <v>69</v>
      </c>
      <c r="D33" s="97" t="s">
        <v>116</v>
      </c>
      <c r="E33" s="94" t="s">
        <v>470</v>
      </c>
      <c r="F33" s="101" t="s">
        <v>845</v>
      </c>
      <c r="G33" s="98">
        <v>7</v>
      </c>
      <c r="H33" s="99">
        <v>7</v>
      </c>
      <c r="I33" s="98">
        <v>6.5</v>
      </c>
      <c r="J33" s="98">
        <v>9</v>
      </c>
      <c r="K33" s="98"/>
      <c r="L33" s="100">
        <f t="shared" si="0"/>
        <v>8.1</v>
      </c>
      <c r="M33" s="92" t="s">
        <v>1341</v>
      </c>
      <c r="N33" s="65"/>
      <c r="O33" s="65"/>
      <c r="P33" s="65"/>
      <c r="Q33" s="65"/>
    </row>
    <row r="34" spans="1:17" s="66" customFormat="1" ht="18.75" customHeight="1">
      <c r="A34" s="114">
        <v>13</v>
      </c>
      <c r="B34" s="105" t="s">
        <v>879</v>
      </c>
      <c r="C34" s="106" t="s">
        <v>126</v>
      </c>
      <c r="D34" s="107" t="s">
        <v>116</v>
      </c>
      <c r="E34" s="114" t="s">
        <v>478</v>
      </c>
      <c r="F34" s="116" t="s">
        <v>845</v>
      </c>
      <c r="G34" s="115"/>
      <c r="H34" s="108"/>
      <c r="I34" s="115"/>
      <c r="J34" s="115"/>
      <c r="K34" s="115"/>
      <c r="L34" s="109">
        <f t="shared" si="0"/>
        <v>0</v>
      </c>
      <c r="M34" s="111" t="s">
        <v>1342</v>
      </c>
      <c r="N34" s="79"/>
      <c r="O34" s="79"/>
      <c r="P34" s="79"/>
      <c r="Q34" s="79"/>
    </row>
    <row r="35" spans="1:17" s="64" customFormat="1" ht="18.75" customHeight="1">
      <c r="A35" s="94">
        <v>14</v>
      </c>
      <c r="B35" s="95" t="s">
        <v>880</v>
      </c>
      <c r="C35" s="96" t="s">
        <v>456</v>
      </c>
      <c r="D35" s="97" t="s">
        <v>63</v>
      </c>
      <c r="E35" s="94" t="s">
        <v>465</v>
      </c>
      <c r="F35" s="101" t="s">
        <v>845</v>
      </c>
      <c r="G35" s="98">
        <v>6</v>
      </c>
      <c r="H35" s="99">
        <v>9</v>
      </c>
      <c r="I35" s="98">
        <v>6</v>
      </c>
      <c r="J35" s="98">
        <v>6</v>
      </c>
      <c r="K35" s="98"/>
      <c r="L35" s="100">
        <f t="shared" si="0"/>
        <v>6.3</v>
      </c>
      <c r="M35" s="92" t="s">
        <v>1341</v>
      </c>
      <c r="N35" s="65"/>
      <c r="O35" s="65"/>
      <c r="P35" s="65"/>
      <c r="Q35" s="65"/>
    </row>
    <row r="36" spans="1:17" s="64" customFormat="1" ht="18.75" customHeight="1">
      <c r="A36" s="94">
        <v>15</v>
      </c>
      <c r="B36" s="95" t="s">
        <v>881</v>
      </c>
      <c r="C36" s="96" t="s">
        <v>120</v>
      </c>
      <c r="D36" s="97" t="s">
        <v>110</v>
      </c>
      <c r="E36" s="94" t="s">
        <v>473</v>
      </c>
      <c r="F36" s="101" t="s">
        <v>845</v>
      </c>
      <c r="G36" s="98">
        <v>8</v>
      </c>
      <c r="H36" s="99">
        <v>7</v>
      </c>
      <c r="I36" s="98">
        <v>6</v>
      </c>
      <c r="J36" s="98">
        <v>7</v>
      </c>
      <c r="K36" s="98"/>
      <c r="L36" s="100">
        <f t="shared" si="0"/>
        <v>6.9</v>
      </c>
      <c r="M36" s="92" t="s">
        <v>1341</v>
      </c>
      <c r="N36" s="65"/>
      <c r="O36" s="65"/>
      <c r="P36" s="65"/>
      <c r="Q36" s="65"/>
    </row>
    <row r="37" spans="1:17" s="66" customFormat="1" ht="18.75" customHeight="1">
      <c r="A37" s="114">
        <v>16</v>
      </c>
      <c r="B37" s="105" t="s">
        <v>882</v>
      </c>
      <c r="C37" s="106" t="s">
        <v>356</v>
      </c>
      <c r="D37" s="107" t="s">
        <v>110</v>
      </c>
      <c r="E37" s="114" t="s">
        <v>461</v>
      </c>
      <c r="F37" s="116" t="s">
        <v>845</v>
      </c>
      <c r="G37" s="115"/>
      <c r="H37" s="108"/>
      <c r="I37" s="115"/>
      <c r="J37" s="115"/>
      <c r="K37" s="115"/>
      <c r="L37" s="109">
        <f t="shared" si="0"/>
        <v>0</v>
      </c>
      <c r="M37" s="111" t="s">
        <v>1343</v>
      </c>
      <c r="N37" s="79"/>
      <c r="O37" s="79"/>
      <c r="P37" s="79"/>
      <c r="Q37" s="79"/>
    </row>
    <row r="38" spans="1:17" s="64" customFormat="1" ht="18.75" customHeight="1">
      <c r="A38" s="94">
        <v>17</v>
      </c>
      <c r="B38" s="95" t="s">
        <v>883</v>
      </c>
      <c r="C38" s="96" t="s">
        <v>41</v>
      </c>
      <c r="D38" s="97" t="s">
        <v>115</v>
      </c>
      <c r="E38" s="94" t="s">
        <v>469</v>
      </c>
      <c r="F38" s="101" t="s">
        <v>845</v>
      </c>
      <c r="G38" s="98">
        <v>6</v>
      </c>
      <c r="H38" s="99">
        <v>8</v>
      </c>
      <c r="I38" s="98">
        <v>6</v>
      </c>
      <c r="J38" s="98">
        <v>5</v>
      </c>
      <c r="K38" s="98"/>
      <c r="L38" s="100">
        <f t="shared" si="0"/>
        <v>5.6</v>
      </c>
      <c r="M38" s="92" t="s">
        <v>1341</v>
      </c>
      <c r="N38" s="65"/>
      <c r="O38" s="65"/>
      <c r="P38" s="65"/>
      <c r="Q38" s="65"/>
    </row>
    <row r="39" spans="1:17" s="64" customFormat="1" ht="18.75" customHeight="1">
      <c r="A39" s="94">
        <v>18</v>
      </c>
      <c r="B39" s="95" t="s">
        <v>884</v>
      </c>
      <c r="C39" s="96" t="s">
        <v>96</v>
      </c>
      <c r="D39" s="97" t="s">
        <v>112</v>
      </c>
      <c r="E39" s="94" t="s">
        <v>463</v>
      </c>
      <c r="F39" s="101" t="s">
        <v>845</v>
      </c>
      <c r="G39" s="98">
        <v>6</v>
      </c>
      <c r="H39" s="99">
        <v>9</v>
      </c>
      <c r="I39" s="98">
        <v>4</v>
      </c>
      <c r="J39" s="98">
        <v>5</v>
      </c>
      <c r="K39" s="98"/>
      <c r="L39" s="100">
        <f t="shared" si="0"/>
        <v>5.3</v>
      </c>
      <c r="M39" s="92"/>
      <c r="N39" s="65"/>
      <c r="O39" s="65"/>
      <c r="P39" s="65"/>
      <c r="Q39" s="65"/>
    </row>
    <row r="40" spans="1:17" s="64" customFormat="1" ht="18.75" customHeight="1">
      <c r="A40" s="94">
        <v>19</v>
      </c>
      <c r="B40" s="95" t="s">
        <v>885</v>
      </c>
      <c r="C40" s="96" t="s">
        <v>125</v>
      </c>
      <c r="D40" s="97" t="s">
        <v>100</v>
      </c>
      <c r="E40" s="94" t="s">
        <v>477</v>
      </c>
      <c r="F40" s="101" t="s">
        <v>845</v>
      </c>
      <c r="G40" s="98">
        <v>6</v>
      </c>
      <c r="H40" s="99">
        <v>8</v>
      </c>
      <c r="I40" s="98">
        <v>5</v>
      </c>
      <c r="J40" s="98">
        <v>9</v>
      </c>
      <c r="K40" s="98"/>
      <c r="L40" s="100">
        <f t="shared" si="0"/>
        <v>7.8</v>
      </c>
      <c r="M40" s="92"/>
      <c r="N40" s="65"/>
      <c r="O40" s="65"/>
      <c r="P40" s="65"/>
      <c r="Q40" s="65"/>
    </row>
    <row r="41" spans="1:17" s="64" customFormat="1" ht="18.75" customHeight="1">
      <c r="A41" s="94">
        <v>20</v>
      </c>
      <c r="B41" s="95" t="s">
        <v>886</v>
      </c>
      <c r="C41" s="96" t="s">
        <v>358</v>
      </c>
      <c r="D41" s="97" t="s">
        <v>121</v>
      </c>
      <c r="E41" s="94" t="s">
        <v>474</v>
      </c>
      <c r="F41" s="101" t="s">
        <v>845</v>
      </c>
      <c r="G41" s="98">
        <v>0</v>
      </c>
      <c r="H41" s="99">
        <v>8</v>
      </c>
      <c r="I41" s="98">
        <v>0</v>
      </c>
      <c r="J41" s="98">
        <v>7</v>
      </c>
      <c r="K41" s="98"/>
      <c r="L41" s="100">
        <f t="shared" si="0"/>
        <v>5</v>
      </c>
      <c r="M41" s="92"/>
      <c r="N41" s="65"/>
      <c r="O41" s="65"/>
      <c r="P41" s="65"/>
      <c r="Q41" s="65"/>
    </row>
    <row r="42" spans="1:17" s="64" customFormat="1" ht="18.75" customHeight="1">
      <c r="A42" s="94">
        <v>21</v>
      </c>
      <c r="B42" s="95" t="s">
        <v>887</v>
      </c>
      <c r="C42" s="96" t="s">
        <v>359</v>
      </c>
      <c r="D42" s="97" t="s">
        <v>127</v>
      </c>
      <c r="E42" s="94" t="s">
        <v>479</v>
      </c>
      <c r="F42" s="101" t="s">
        <v>1371</v>
      </c>
      <c r="G42" s="98">
        <v>7</v>
      </c>
      <c r="H42" s="99">
        <v>8</v>
      </c>
      <c r="I42" s="98">
        <v>7</v>
      </c>
      <c r="J42" s="98">
        <v>6</v>
      </c>
      <c r="K42" s="98"/>
      <c r="L42" s="100">
        <f t="shared" si="0"/>
        <v>6.5</v>
      </c>
      <c r="M42" s="92"/>
      <c r="N42" s="65"/>
      <c r="O42" s="65"/>
      <c r="P42" s="65"/>
      <c r="Q42" s="65"/>
    </row>
    <row r="43" spans="1:17" s="66" customFormat="1" ht="18.75" customHeight="1">
      <c r="A43" s="114">
        <v>22</v>
      </c>
      <c r="B43" s="105" t="s">
        <v>888</v>
      </c>
      <c r="C43" s="106" t="s">
        <v>118</v>
      </c>
      <c r="D43" s="107" t="s">
        <v>119</v>
      </c>
      <c r="E43" s="114" t="s">
        <v>472</v>
      </c>
      <c r="F43" s="116" t="s">
        <v>845</v>
      </c>
      <c r="G43" s="115"/>
      <c r="H43" s="108"/>
      <c r="I43" s="115"/>
      <c r="J43" s="115"/>
      <c r="K43" s="115"/>
      <c r="L43" s="109">
        <f t="shared" si="0"/>
        <v>0</v>
      </c>
      <c r="M43" s="111" t="s">
        <v>1343</v>
      </c>
      <c r="N43" s="79"/>
      <c r="O43" s="79"/>
      <c r="P43" s="79"/>
      <c r="Q43" s="79"/>
    </row>
    <row r="44" spans="1:17" s="64" customFormat="1" ht="18.75" customHeight="1">
      <c r="A44" s="94">
        <v>23</v>
      </c>
      <c r="B44" s="95" t="s">
        <v>889</v>
      </c>
      <c r="C44" s="96" t="s">
        <v>114</v>
      </c>
      <c r="D44" s="97" t="s">
        <v>72</v>
      </c>
      <c r="E44" s="94" t="s">
        <v>466</v>
      </c>
      <c r="F44" s="101" t="s">
        <v>845</v>
      </c>
      <c r="G44" s="98">
        <v>8</v>
      </c>
      <c r="H44" s="99">
        <v>9</v>
      </c>
      <c r="I44" s="98">
        <v>8</v>
      </c>
      <c r="J44" s="98">
        <v>8</v>
      </c>
      <c r="K44" s="98"/>
      <c r="L44" s="100">
        <f t="shared" si="0"/>
        <v>8.1</v>
      </c>
      <c r="M44" s="92"/>
      <c r="N44" s="65"/>
      <c r="O44" s="65"/>
      <c r="P44" s="65"/>
      <c r="Q44" s="65"/>
    </row>
    <row r="45" spans="1:17" s="64" customFormat="1" ht="18.75" customHeight="1">
      <c r="A45" s="94">
        <v>24</v>
      </c>
      <c r="B45" s="95" t="s">
        <v>890</v>
      </c>
      <c r="C45" s="117" t="s">
        <v>444</v>
      </c>
      <c r="D45" s="118" t="s">
        <v>37</v>
      </c>
      <c r="E45" s="94" t="s">
        <v>798</v>
      </c>
      <c r="F45" s="101" t="s">
        <v>846</v>
      </c>
      <c r="G45" s="99"/>
      <c r="H45" s="99">
        <v>9</v>
      </c>
      <c r="I45" s="99"/>
      <c r="J45" s="98">
        <v>6</v>
      </c>
      <c r="K45" s="98"/>
      <c r="L45" s="100">
        <f t="shared" si="0"/>
        <v>4.5</v>
      </c>
      <c r="M45" s="92" t="s">
        <v>1344</v>
      </c>
      <c r="N45" s="65"/>
      <c r="O45" s="65"/>
      <c r="P45" s="65"/>
      <c r="Q45" s="65"/>
    </row>
    <row r="46" spans="1:17" s="64" customFormat="1" ht="18.75" customHeight="1">
      <c r="A46" s="94">
        <v>25</v>
      </c>
      <c r="B46" s="95" t="s">
        <v>891</v>
      </c>
      <c r="C46" s="96" t="s">
        <v>361</v>
      </c>
      <c r="D46" s="97" t="s">
        <v>37</v>
      </c>
      <c r="E46" s="94" t="s">
        <v>482</v>
      </c>
      <c r="F46" s="101" t="s">
        <v>846</v>
      </c>
      <c r="G46" s="98">
        <v>6</v>
      </c>
      <c r="H46" s="99">
        <v>8</v>
      </c>
      <c r="I46" s="98">
        <v>3.5</v>
      </c>
      <c r="J46" s="98">
        <v>6</v>
      </c>
      <c r="K46" s="98"/>
      <c r="L46" s="100">
        <f t="shared" si="0"/>
        <v>5.7</v>
      </c>
      <c r="M46" s="92"/>
      <c r="N46" s="65"/>
      <c r="O46" s="65"/>
      <c r="P46" s="65"/>
      <c r="Q46" s="65"/>
    </row>
    <row r="47" spans="1:13" s="79" customFormat="1" ht="18.75" customHeight="1">
      <c r="A47" s="104">
        <v>26</v>
      </c>
      <c r="B47" s="105" t="s">
        <v>892</v>
      </c>
      <c r="C47" s="106" t="s">
        <v>130</v>
      </c>
      <c r="D47" s="107" t="s">
        <v>48</v>
      </c>
      <c r="E47" s="104" t="s">
        <v>485</v>
      </c>
      <c r="F47" s="110" t="s">
        <v>846</v>
      </c>
      <c r="G47" s="108"/>
      <c r="H47" s="108"/>
      <c r="I47" s="108"/>
      <c r="J47" s="108"/>
      <c r="K47" s="108"/>
      <c r="L47" s="109">
        <f t="shared" si="0"/>
        <v>0</v>
      </c>
      <c r="M47" s="111" t="s">
        <v>1345</v>
      </c>
    </row>
    <row r="48" spans="1:17" s="64" customFormat="1" ht="18.75" customHeight="1">
      <c r="A48" s="94">
        <v>27</v>
      </c>
      <c r="B48" s="95" t="s">
        <v>893</v>
      </c>
      <c r="C48" s="117" t="s">
        <v>90</v>
      </c>
      <c r="D48" s="118" t="s">
        <v>53</v>
      </c>
      <c r="E48" s="94" t="s">
        <v>802</v>
      </c>
      <c r="F48" s="101" t="s">
        <v>846</v>
      </c>
      <c r="G48" s="98">
        <v>6</v>
      </c>
      <c r="H48" s="99">
        <v>7</v>
      </c>
      <c r="I48" s="98">
        <v>5.5</v>
      </c>
      <c r="J48" s="98">
        <v>8</v>
      </c>
      <c r="K48" s="98"/>
      <c r="L48" s="100">
        <f t="shared" si="0"/>
        <v>7.2</v>
      </c>
      <c r="M48" s="92"/>
      <c r="N48" s="65"/>
      <c r="O48" s="65"/>
      <c r="P48" s="65"/>
      <c r="Q48" s="65"/>
    </row>
    <row r="49" spans="1:17" s="64" customFormat="1" ht="18.75" customHeight="1">
      <c r="A49" s="94">
        <v>28</v>
      </c>
      <c r="B49" s="95" t="s">
        <v>894</v>
      </c>
      <c r="C49" s="117" t="s">
        <v>42</v>
      </c>
      <c r="D49" s="118" t="s">
        <v>124</v>
      </c>
      <c r="E49" s="94" t="s">
        <v>785</v>
      </c>
      <c r="F49" s="101" t="s">
        <v>846</v>
      </c>
      <c r="G49" s="98">
        <v>6</v>
      </c>
      <c r="H49" s="99">
        <v>9</v>
      </c>
      <c r="I49" s="98">
        <v>6</v>
      </c>
      <c r="J49" s="98">
        <v>7</v>
      </c>
      <c r="K49" s="98"/>
      <c r="L49" s="100">
        <f t="shared" si="0"/>
        <v>6.9</v>
      </c>
      <c r="M49" s="92"/>
      <c r="N49" s="65"/>
      <c r="O49" s="65"/>
      <c r="P49" s="65"/>
      <c r="Q49" s="65"/>
    </row>
    <row r="50" spans="1:17" s="64" customFormat="1" ht="18.75" customHeight="1">
      <c r="A50" s="94">
        <v>29</v>
      </c>
      <c r="B50" s="95" t="s">
        <v>895</v>
      </c>
      <c r="C50" s="117" t="s">
        <v>219</v>
      </c>
      <c r="D50" s="118" t="s">
        <v>55</v>
      </c>
      <c r="E50" s="94" t="s">
        <v>465</v>
      </c>
      <c r="F50" s="101" t="s">
        <v>846</v>
      </c>
      <c r="G50" s="98">
        <v>8</v>
      </c>
      <c r="H50" s="99">
        <v>8</v>
      </c>
      <c r="I50" s="98">
        <v>8</v>
      </c>
      <c r="J50" s="98">
        <v>6</v>
      </c>
      <c r="K50" s="98"/>
      <c r="L50" s="100">
        <f t="shared" si="0"/>
        <v>6.8</v>
      </c>
      <c r="M50" s="92"/>
      <c r="N50" s="65"/>
      <c r="O50" s="65"/>
      <c r="P50" s="65"/>
      <c r="Q50" s="65"/>
    </row>
    <row r="51" spans="1:17" s="64" customFormat="1" ht="18.75" customHeight="1">
      <c r="A51" s="94">
        <v>30</v>
      </c>
      <c r="B51" s="95" t="s">
        <v>896</v>
      </c>
      <c r="C51" s="117" t="s">
        <v>269</v>
      </c>
      <c r="D51" s="118" t="s">
        <v>293</v>
      </c>
      <c r="E51" s="94" t="s">
        <v>800</v>
      </c>
      <c r="F51" s="101" t="s">
        <v>846</v>
      </c>
      <c r="G51" s="98">
        <v>6</v>
      </c>
      <c r="H51" s="99">
        <v>8</v>
      </c>
      <c r="I51" s="98">
        <v>5.5</v>
      </c>
      <c r="J51" s="98">
        <v>6</v>
      </c>
      <c r="K51" s="98"/>
      <c r="L51" s="100">
        <f t="shared" si="0"/>
        <v>6.1</v>
      </c>
      <c r="M51" s="92"/>
      <c r="N51" s="65"/>
      <c r="O51" s="65"/>
      <c r="P51" s="65"/>
      <c r="Q51" s="65"/>
    </row>
    <row r="52" spans="1:17" s="66" customFormat="1" ht="18.75" customHeight="1">
      <c r="A52" s="114">
        <v>31</v>
      </c>
      <c r="B52" s="105" t="s">
        <v>897</v>
      </c>
      <c r="C52" s="119" t="s">
        <v>445</v>
      </c>
      <c r="D52" s="120" t="s">
        <v>388</v>
      </c>
      <c r="E52" s="114" t="s">
        <v>801</v>
      </c>
      <c r="F52" s="116" t="s">
        <v>846</v>
      </c>
      <c r="G52" s="115"/>
      <c r="H52" s="108"/>
      <c r="I52" s="115"/>
      <c r="J52" s="115"/>
      <c r="K52" s="115"/>
      <c r="L52" s="109">
        <f t="shared" si="0"/>
        <v>0</v>
      </c>
      <c r="M52" s="111" t="s">
        <v>1342</v>
      </c>
      <c r="N52" s="79"/>
      <c r="O52" s="79"/>
      <c r="P52" s="79"/>
      <c r="Q52" s="79"/>
    </row>
    <row r="53" spans="1:17" s="66" customFormat="1" ht="18.75" customHeight="1">
      <c r="A53" s="114">
        <v>32</v>
      </c>
      <c r="B53" s="105" t="s">
        <v>898</v>
      </c>
      <c r="C53" s="106" t="s">
        <v>362</v>
      </c>
      <c r="D53" s="107" t="s">
        <v>91</v>
      </c>
      <c r="E53" s="114" t="s">
        <v>486</v>
      </c>
      <c r="F53" s="116" t="s">
        <v>846</v>
      </c>
      <c r="G53" s="115"/>
      <c r="H53" s="108"/>
      <c r="I53" s="115"/>
      <c r="J53" s="115"/>
      <c r="K53" s="115"/>
      <c r="L53" s="109">
        <f t="shared" si="0"/>
        <v>0</v>
      </c>
      <c r="M53" s="111" t="s">
        <v>1346</v>
      </c>
      <c r="N53" s="79"/>
      <c r="O53" s="79"/>
      <c r="P53" s="79"/>
      <c r="Q53" s="79"/>
    </row>
    <row r="54" spans="1:17" s="66" customFormat="1" ht="18.75" customHeight="1">
      <c r="A54" s="114">
        <v>33</v>
      </c>
      <c r="B54" s="105" t="s">
        <v>899</v>
      </c>
      <c r="C54" s="106" t="s">
        <v>131</v>
      </c>
      <c r="D54" s="107" t="s">
        <v>91</v>
      </c>
      <c r="E54" s="114" t="s">
        <v>487</v>
      </c>
      <c r="F54" s="116" t="s">
        <v>846</v>
      </c>
      <c r="G54" s="108"/>
      <c r="H54" s="108"/>
      <c r="I54" s="108"/>
      <c r="J54" s="115"/>
      <c r="K54" s="115"/>
      <c r="L54" s="109">
        <f t="shared" si="0"/>
        <v>0</v>
      </c>
      <c r="M54" s="111" t="s">
        <v>1342</v>
      </c>
      <c r="N54" s="79"/>
      <c r="O54" s="79"/>
      <c r="P54" s="79"/>
      <c r="Q54" s="79"/>
    </row>
    <row r="55" spans="1:13" s="79" customFormat="1" ht="18.75" customHeight="1">
      <c r="A55" s="104">
        <v>34</v>
      </c>
      <c r="B55" s="105" t="s">
        <v>900</v>
      </c>
      <c r="C55" s="106" t="s">
        <v>42</v>
      </c>
      <c r="D55" s="107" t="s">
        <v>113</v>
      </c>
      <c r="E55" s="104" t="s">
        <v>481</v>
      </c>
      <c r="F55" s="110" t="s">
        <v>846</v>
      </c>
      <c r="G55" s="108"/>
      <c r="H55" s="108"/>
      <c r="I55" s="108"/>
      <c r="J55" s="108"/>
      <c r="K55" s="108"/>
      <c r="L55" s="109">
        <f t="shared" si="0"/>
        <v>0</v>
      </c>
      <c r="M55" s="111" t="s">
        <v>1345</v>
      </c>
    </row>
    <row r="56" spans="1:17" s="66" customFormat="1" ht="18.75" customHeight="1">
      <c r="A56" s="114">
        <v>35</v>
      </c>
      <c r="B56" s="105" t="s">
        <v>901</v>
      </c>
      <c r="C56" s="106" t="s">
        <v>129</v>
      </c>
      <c r="D56" s="107" t="s">
        <v>116</v>
      </c>
      <c r="E56" s="114" t="s">
        <v>484</v>
      </c>
      <c r="F56" s="116" t="s">
        <v>846</v>
      </c>
      <c r="G56" s="115"/>
      <c r="H56" s="108"/>
      <c r="I56" s="115"/>
      <c r="J56" s="115"/>
      <c r="K56" s="115"/>
      <c r="L56" s="109">
        <f t="shared" si="0"/>
        <v>0</v>
      </c>
      <c r="M56" s="111" t="s">
        <v>1345</v>
      </c>
      <c r="N56" s="79"/>
      <c r="O56" s="79"/>
      <c r="P56" s="79"/>
      <c r="Q56" s="79"/>
    </row>
    <row r="57" spans="1:17" s="66" customFormat="1" ht="18.75" customHeight="1">
      <c r="A57" s="114">
        <v>36</v>
      </c>
      <c r="B57" s="105" t="s">
        <v>902</v>
      </c>
      <c r="C57" s="106" t="s">
        <v>133</v>
      </c>
      <c r="D57" s="107" t="s">
        <v>364</v>
      </c>
      <c r="E57" s="114" t="s">
        <v>489</v>
      </c>
      <c r="F57" s="116" t="s">
        <v>846</v>
      </c>
      <c r="G57" s="115"/>
      <c r="H57" s="108"/>
      <c r="I57" s="115"/>
      <c r="J57" s="115"/>
      <c r="K57" s="115"/>
      <c r="L57" s="109">
        <f t="shared" si="0"/>
        <v>0</v>
      </c>
      <c r="M57" s="111" t="s">
        <v>1342</v>
      </c>
      <c r="N57" s="79"/>
      <c r="O57" s="79"/>
      <c r="P57" s="79"/>
      <c r="Q57" s="79"/>
    </row>
    <row r="58" spans="1:17" s="66" customFormat="1" ht="18.75" customHeight="1">
      <c r="A58" s="114">
        <v>37</v>
      </c>
      <c r="B58" s="105" t="s">
        <v>903</v>
      </c>
      <c r="C58" s="106" t="s">
        <v>363</v>
      </c>
      <c r="D58" s="107" t="s">
        <v>132</v>
      </c>
      <c r="E58" s="114" t="s">
        <v>488</v>
      </c>
      <c r="F58" s="116" t="s">
        <v>846</v>
      </c>
      <c r="G58" s="115"/>
      <c r="H58" s="108"/>
      <c r="I58" s="115"/>
      <c r="J58" s="115"/>
      <c r="K58" s="115"/>
      <c r="L58" s="109">
        <f t="shared" si="0"/>
        <v>0</v>
      </c>
      <c r="M58" s="111" t="s">
        <v>1347</v>
      </c>
      <c r="N58" s="79"/>
      <c r="O58" s="79"/>
      <c r="P58" s="79"/>
      <c r="Q58" s="79"/>
    </row>
    <row r="59" spans="1:17" s="66" customFormat="1" ht="18.75" customHeight="1">
      <c r="A59" s="114">
        <v>38</v>
      </c>
      <c r="B59" s="105" t="s">
        <v>904</v>
      </c>
      <c r="C59" s="106" t="s">
        <v>135</v>
      </c>
      <c r="D59" s="107" t="s">
        <v>110</v>
      </c>
      <c r="E59" s="114" t="s">
        <v>491</v>
      </c>
      <c r="F59" s="116" t="s">
        <v>846</v>
      </c>
      <c r="G59" s="115"/>
      <c r="H59" s="108"/>
      <c r="I59" s="115"/>
      <c r="J59" s="115"/>
      <c r="K59" s="115"/>
      <c r="L59" s="109">
        <f t="shared" si="0"/>
        <v>0</v>
      </c>
      <c r="M59" s="111" t="s">
        <v>1342</v>
      </c>
      <c r="N59" s="79"/>
      <c r="O59" s="79"/>
      <c r="P59" s="79"/>
      <c r="Q59" s="79"/>
    </row>
    <row r="60" spans="1:17" s="66" customFormat="1" ht="18.75" customHeight="1">
      <c r="A60" s="114">
        <v>39</v>
      </c>
      <c r="B60" s="105" t="s">
        <v>905</v>
      </c>
      <c r="C60" s="106" t="s">
        <v>134</v>
      </c>
      <c r="D60" s="107" t="s">
        <v>64</v>
      </c>
      <c r="E60" s="114" t="s">
        <v>490</v>
      </c>
      <c r="F60" s="116" t="s">
        <v>846</v>
      </c>
      <c r="G60" s="115"/>
      <c r="H60" s="108"/>
      <c r="I60" s="115"/>
      <c r="J60" s="115"/>
      <c r="K60" s="115"/>
      <c r="L60" s="109">
        <f t="shared" si="0"/>
        <v>0</v>
      </c>
      <c r="M60" s="111" t="s">
        <v>1347</v>
      </c>
      <c r="N60" s="79"/>
      <c r="O60" s="79"/>
      <c r="P60" s="79"/>
      <c r="Q60" s="79"/>
    </row>
    <row r="61" spans="1:17" s="64" customFormat="1" ht="18.75" customHeight="1">
      <c r="A61" s="94">
        <v>40</v>
      </c>
      <c r="B61" s="95" t="s">
        <v>906</v>
      </c>
      <c r="C61" s="96" t="s">
        <v>128</v>
      </c>
      <c r="D61" s="97" t="s">
        <v>98</v>
      </c>
      <c r="E61" s="94" t="s">
        <v>483</v>
      </c>
      <c r="F61" s="101" t="s">
        <v>846</v>
      </c>
      <c r="G61" s="98">
        <v>7</v>
      </c>
      <c r="H61" s="99">
        <v>8</v>
      </c>
      <c r="I61" s="98">
        <v>5</v>
      </c>
      <c r="J61" s="98">
        <v>5</v>
      </c>
      <c r="K61" s="98"/>
      <c r="L61" s="100">
        <f t="shared" si="0"/>
        <v>5.5</v>
      </c>
      <c r="M61" s="92"/>
      <c r="N61" s="65"/>
      <c r="O61" s="65"/>
      <c r="P61" s="65"/>
      <c r="Q61" s="65"/>
    </row>
    <row r="62" spans="1:17" s="64" customFormat="1" ht="18.75" customHeight="1">
      <c r="A62" s="94">
        <v>41</v>
      </c>
      <c r="B62" s="95" t="s">
        <v>907</v>
      </c>
      <c r="C62" s="117" t="s">
        <v>328</v>
      </c>
      <c r="D62" s="118" t="s">
        <v>112</v>
      </c>
      <c r="E62" s="94" t="s">
        <v>799</v>
      </c>
      <c r="F62" s="101" t="s">
        <v>846</v>
      </c>
      <c r="G62" s="98">
        <v>6</v>
      </c>
      <c r="H62" s="99">
        <v>8</v>
      </c>
      <c r="I62" s="98">
        <v>5.5</v>
      </c>
      <c r="J62" s="98">
        <v>4</v>
      </c>
      <c r="K62" s="98"/>
      <c r="L62" s="100">
        <f t="shared" si="0"/>
        <v>4.9</v>
      </c>
      <c r="M62" s="92"/>
      <c r="N62" s="65"/>
      <c r="O62" s="65"/>
      <c r="P62" s="65"/>
      <c r="Q62" s="65"/>
    </row>
    <row r="63" spans="1:17" s="64" customFormat="1" ht="18.75" customHeight="1">
      <c r="A63" s="94">
        <v>42</v>
      </c>
      <c r="B63" s="95" t="s">
        <v>908</v>
      </c>
      <c r="C63" s="117" t="s">
        <v>85</v>
      </c>
      <c r="D63" s="118" t="s">
        <v>99</v>
      </c>
      <c r="E63" s="94" t="s">
        <v>803</v>
      </c>
      <c r="F63" s="101" t="s">
        <v>846</v>
      </c>
      <c r="G63" s="98">
        <v>6</v>
      </c>
      <c r="H63" s="99">
        <v>9</v>
      </c>
      <c r="I63" s="98">
        <v>5</v>
      </c>
      <c r="J63" s="98">
        <v>4</v>
      </c>
      <c r="K63" s="98"/>
      <c r="L63" s="100">
        <f t="shared" si="0"/>
        <v>4.9</v>
      </c>
      <c r="M63" s="92"/>
      <c r="N63" s="65"/>
      <c r="O63" s="65"/>
      <c r="P63" s="65"/>
      <c r="Q63" s="65"/>
    </row>
    <row r="64" spans="1:17" s="66" customFormat="1" ht="18.75" customHeight="1">
      <c r="A64" s="114">
        <v>43</v>
      </c>
      <c r="B64" s="105" t="s">
        <v>909</v>
      </c>
      <c r="C64" s="106" t="s">
        <v>360</v>
      </c>
      <c r="D64" s="107" t="s">
        <v>66</v>
      </c>
      <c r="E64" s="114" t="s">
        <v>480</v>
      </c>
      <c r="F64" s="116" t="s">
        <v>846</v>
      </c>
      <c r="G64" s="115"/>
      <c r="H64" s="108"/>
      <c r="I64" s="115"/>
      <c r="J64" s="115"/>
      <c r="K64" s="115"/>
      <c r="L64" s="109">
        <f t="shared" si="0"/>
        <v>0</v>
      </c>
      <c r="M64" s="111" t="s">
        <v>1342</v>
      </c>
      <c r="N64" s="79"/>
      <c r="O64" s="79"/>
      <c r="P64" s="79"/>
      <c r="Q64" s="79"/>
    </row>
    <row r="65" spans="1:17" s="64" customFormat="1" ht="18.75" customHeight="1">
      <c r="A65" s="94">
        <v>44</v>
      </c>
      <c r="B65" s="95" t="s">
        <v>910</v>
      </c>
      <c r="C65" s="96" t="s">
        <v>138</v>
      </c>
      <c r="D65" s="97" t="s">
        <v>139</v>
      </c>
      <c r="E65" s="94" t="s">
        <v>493</v>
      </c>
      <c r="F65" s="101" t="s">
        <v>846</v>
      </c>
      <c r="G65" s="98">
        <v>6</v>
      </c>
      <c r="H65" s="99">
        <v>9</v>
      </c>
      <c r="I65" s="98">
        <v>6</v>
      </c>
      <c r="J65" s="98">
        <v>8</v>
      </c>
      <c r="K65" s="98"/>
      <c r="L65" s="100">
        <f t="shared" si="0"/>
        <v>7.5</v>
      </c>
      <c r="M65" s="92"/>
      <c r="N65" s="65"/>
      <c r="O65" s="65"/>
      <c r="P65" s="65"/>
      <c r="Q65" s="65"/>
    </row>
    <row r="66" spans="1:17" s="66" customFormat="1" ht="18.75" customHeight="1">
      <c r="A66" s="114">
        <v>45</v>
      </c>
      <c r="B66" s="105" t="s">
        <v>911</v>
      </c>
      <c r="C66" s="106" t="s">
        <v>136</v>
      </c>
      <c r="D66" s="107" t="s">
        <v>137</v>
      </c>
      <c r="E66" s="114" t="s">
        <v>492</v>
      </c>
      <c r="F66" s="116" t="s">
        <v>846</v>
      </c>
      <c r="G66" s="115"/>
      <c r="H66" s="108"/>
      <c r="I66" s="115"/>
      <c r="J66" s="115"/>
      <c r="K66" s="115"/>
      <c r="L66" s="109">
        <f t="shared" si="0"/>
        <v>0</v>
      </c>
      <c r="M66" s="111" t="s">
        <v>1347</v>
      </c>
      <c r="N66" s="79"/>
      <c r="O66" s="79"/>
      <c r="P66" s="79"/>
      <c r="Q66" s="79"/>
    </row>
    <row r="67" spans="1:17" s="64" customFormat="1" ht="18.75" customHeight="1">
      <c r="A67" s="94">
        <v>46</v>
      </c>
      <c r="B67" s="95" t="s">
        <v>912</v>
      </c>
      <c r="C67" s="96" t="s">
        <v>140</v>
      </c>
      <c r="D67" s="97" t="s">
        <v>48</v>
      </c>
      <c r="E67" s="94" t="s">
        <v>494</v>
      </c>
      <c r="F67" s="101" t="s">
        <v>1322</v>
      </c>
      <c r="G67" s="98">
        <v>6</v>
      </c>
      <c r="H67" s="99">
        <v>7</v>
      </c>
      <c r="I67" s="98">
        <v>5.5</v>
      </c>
      <c r="J67" s="98">
        <v>7</v>
      </c>
      <c r="K67" s="98"/>
      <c r="L67" s="100">
        <f t="shared" si="0"/>
        <v>6.6</v>
      </c>
      <c r="M67" s="92"/>
      <c r="N67" s="65"/>
      <c r="O67" s="65"/>
      <c r="P67" s="65"/>
      <c r="Q67" s="65"/>
    </row>
    <row r="68" spans="1:17" s="64" customFormat="1" ht="18.75" customHeight="1">
      <c r="A68" s="94">
        <v>47</v>
      </c>
      <c r="B68" s="95" t="s">
        <v>913</v>
      </c>
      <c r="C68" s="96" t="s">
        <v>52</v>
      </c>
      <c r="D68" s="97" t="s">
        <v>124</v>
      </c>
      <c r="E68" s="94" t="s">
        <v>497</v>
      </c>
      <c r="F68" s="101" t="s">
        <v>1322</v>
      </c>
      <c r="G68" s="98">
        <v>6</v>
      </c>
      <c r="H68" s="99">
        <v>7</v>
      </c>
      <c r="I68" s="98">
        <v>5</v>
      </c>
      <c r="J68" s="98">
        <v>8</v>
      </c>
      <c r="K68" s="98"/>
      <c r="L68" s="100">
        <f t="shared" si="0"/>
        <v>7.1</v>
      </c>
      <c r="M68" s="92"/>
      <c r="N68" s="65"/>
      <c r="O68" s="65"/>
      <c r="P68" s="65"/>
      <c r="Q68" s="65"/>
    </row>
    <row r="69" spans="1:17" s="64" customFormat="1" ht="18.75" customHeight="1">
      <c r="A69" s="94">
        <v>48</v>
      </c>
      <c r="B69" s="95" t="s">
        <v>914</v>
      </c>
      <c r="C69" s="96" t="s">
        <v>365</v>
      </c>
      <c r="D69" s="97" t="s">
        <v>86</v>
      </c>
      <c r="E69" s="94" t="s">
        <v>496</v>
      </c>
      <c r="F69" s="101" t="s">
        <v>1322</v>
      </c>
      <c r="G69" s="98">
        <v>6</v>
      </c>
      <c r="H69" s="99">
        <v>8</v>
      </c>
      <c r="I69" s="98">
        <v>5</v>
      </c>
      <c r="J69" s="98">
        <v>6</v>
      </c>
      <c r="K69" s="98"/>
      <c r="L69" s="100">
        <f t="shared" si="0"/>
        <v>6</v>
      </c>
      <c r="M69" s="92"/>
      <c r="N69" s="65"/>
      <c r="O69" s="65"/>
      <c r="P69" s="65"/>
      <c r="Q69" s="65"/>
    </row>
    <row r="70" spans="1:17" s="64" customFormat="1" ht="18.75" customHeight="1">
      <c r="A70" s="94">
        <v>49</v>
      </c>
      <c r="B70" s="95" t="s">
        <v>915</v>
      </c>
      <c r="C70" s="96" t="s">
        <v>141</v>
      </c>
      <c r="D70" s="97" t="s">
        <v>92</v>
      </c>
      <c r="E70" s="94" t="s">
        <v>495</v>
      </c>
      <c r="F70" s="101" t="s">
        <v>1322</v>
      </c>
      <c r="G70" s="98">
        <v>7</v>
      </c>
      <c r="H70" s="99">
        <v>8</v>
      </c>
      <c r="I70" s="98">
        <v>7</v>
      </c>
      <c r="J70" s="98">
        <v>8</v>
      </c>
      <c r="K70" s="98"/>
      <c r="L70" s="100">
        <f t="shared" si="0"/>
        <v>7.7</v>
      </c>
      <c r="M70" s="92"/>
      <c r="N70" s="65"/>
      <c r="O70" s="65"/>
      <c r="P70" s="65"/>
      <c r="Q70" s="65"/>
    </row>
    <row r="71" spans="1:13" s="65" customFormat="1" ht="18.75" customHeight="1">
      <c r="A71" s="112">
        <v>50</v>
      </c>
      <c r="B71" s="95" t="s">
        <v>916</v>
      </c>
      <c r="C71" s="96" t="s">
        <v>144</v>
      </c>
      <c r="D71" s="97" t="s">
        <v>62</v>
      </c>
      <c r="E71" s="112" t="s">
        <v>500</v>
      </c>
      <c r="F71" s="113" t="s">
        <v>1322</v>
      </c>
      <c r="G71" s="99">
        <v>6</v>
      </c>
      <c r="H71" s="99">
        <v>9</v>
      </c>
      <c r="I71" s="99">
        <v>5.5</v>
      </c>
      <c r="J71" s="99">
        <v>7</v>
      </c>
      <c r="K71" s="99"/>
      <c r="L71" s="100">
        <f t="shared" si="0"/>
        <v>6.8</v>
      </c>
      <c r="M71" s="92"/>
    </row>
    <row r="72" spans="1:17" s="64" customFormat="1" ht="18.75" customHeight="1">
      <c r="A72" s="94">
        <v>51</v>
      </c>
      <c r="B72" s="95" t="s">
        <v>917</v>
      </c>
      <c r="C72" s="96" t="s">
        <v>142</v>
      </c>
      <c r="D72" s="97" t="s">
        <v>143</v>
      </c>
      <c r="E72" s="94" t="s">
        <v>498</v>
      </c>
      <c r="F72" s="101" t="s">
        <v>1322</v>
      </c>
      <c r="G72" s="98">
        <v>7</v>
      </c>
      <c r="H72" s="99">
        <v>8</v>
      </c>
      <c r="I72" s="98">
        <v>7</v>
      </c>
      <c r="J72" s="98">
        <v>7</v>
      </c>
      <c r="K72" s="98"/>
      <c r="L72" s="100">
        <f t="shared" si="0"/>
        <v>7.1</v>
      </c>
      <c r="M72" s="92"/>
      <c r="N72" s="65"/>
      <c r="O72" s="65"/>
      <c r="P72" s="65"/>
      <c r="Q72" s="65"/>
    </row>
    <row r="73" spans="1:17" s="64" customFormat="1" ht="18.75" customHeight="1">
      <c r="A73" s="94">
        <v>52</v>
      </c>
      <c r="B73" s="95" t="s">
        <v>918</v>
      </c>
      <c r="C73" s="96" t="s">
        <v>366</v>
      </c>
      <c r="D73" s="97" t="s">
        <v>103</v>
      </c>
      <c r="E73" s="94" t="s">
        <v>499</v>
      </c>
      <c r="F73" s="101" t="s">
        <v>1322</v>
      </c>
      <c r="G73" s="98">
        <v>7</v>
      </c>
      <c r="H73" s="99">
        <v>8</v>
      </c>
      <c r="I73" s="98">
        <v>7</v>
      </c>
      <c r="J73" s="98">
        <v>6</v>
      </c>
      <c r="K73" s="98"/>
      <c r="L73" s="100">
        <f t="shared" si="0"/>
        <v>6.5</v>
      </c>
      <c r="M73" s="92"/>
      <c r="N73" s="65"/>
      <c r="O73" s="65"/>
      <c r="P73" s="65"/>
      <c r="Q73" s="65"/>
    </row>
    <row r="74" spans="1:17" s="64" customFormat="1" ht="18.75" customHeight="1">
      <c r="A74" s="94"/>
      <c r="B74" s="95"/>
      <c r="C74" s="96" t="s">
        <v>1377</v>
      </c>
      <c r="D74" s="97" t="s">
        <v>49</v>
      </c>
      <c r="E74" s="121">
        <v>25629</v>
      </c>
      <c r="F74" s="101" t="s">
        <v>1322</v>
      </c>
      <c r="G74" s="98">
        <v>6</v>
      </c>
      <c r="H74" s="99">
        <v>7</v>
      </c>
      <c r="I74" s="98">
        <v>5.5</v>
      </c>
      <c r="J74" s="98">
        <v>6</v>
      </c>
      <c r="K74" s="98"/>
      <c r="L74" s="100">
        <f t="shared" si="0"/>
        <v>6</v>
      </c>
      <c r="M74" s="92"/>
      <c r="N74" s="65"/>
      <c r="O74" s="65"/>
      <c r="P74" s="65"/>
      <c r="Q74" s="65"/>
    </row>
    <row r="75" spans="1:17" s="64" customFormat="1" ht="18.75" customHeight="1">
      <c r="A75" s="94"/>
      <c r="B75" s="95"/>
      <c r="C75" s="96" t="s">
        <v>1378</v>
      </c>
      <c r="D75" s="97" t="s">
        <v>124</v>
      </c>
      <c r="E75" s="121">
        <v>25758</v>
      </c>
      <c r="F75" s="101" t="s">
        <v>1322</v>
      </c>
      <c r="G75" s="98">
        <v>6</v>
      </c>
      <c r="H75" s="99">
        <v>8</v>
      </c>
      <c r="I75" s="98">
        <v>0</v>
      </c>
      <c r="J75" s="98">
        <v>8</v>
      </c>
      <c r="K75" s="98"/>
      <c r="L75" s="100">
        <f t="shared" si="0"/>
        <v>6.2</v>
      </c>
      <c r="M75" s="92" t="s">
        <v>1349</v>
      </c>
      <c r="N75" s="65"/>
      <c r="O75" s="65"/>
      <c r="P75" s="65"/>
      <c r="Q75" s="65"/>
    </row>
    <row r="76" spans="1:17" s="64" customFormat="1" ht="18.75" customHeight="1">
      <c r="A76" s="94">
        <v>53</v>
      </c>
      <c r="B76" s="95" t="s">
        <v>919</v>
      </c>
      <c r="C76" s="96" t="s">
        <v>378</v>
      </c>
      <c r="D76" s="97" t="s">
        <v>116</v>
      </c>
      <c r="E76" s="94" t="s">
        <v>520</v>
      </c>
      <c r="F76" s="101" t="s">
        <v>847</v>
      </c>
      <c r="G76" s="98">
        <v>8</v>
      </c>
      <c r="H76" s="99">
        <v>9</v>
      </c>
      <c r="I76" s="98">
        <v>8</v>
      </c>
      <c r="J76" s="98">
        <v>7</v>
      </c>
      <c r="K76" s="98"/>
      <c r="L76" s="100">
        <f t="shared" si="0"/>
        <v>7.5</v>
      </c>
      <c r="M76" s="92"/>
      <c r="N76" s="65"/>
      <c r="O76" s="65"/>
      <c r="P76" s="65"/>
      <c r="Q76" s="65"/>
    </row>
    <row r="77" spans="1:17" s="64" customFormat="1" ht="18.75" customHeight="1">
      <c r="A77" s="94">
        <v>54</v>
      </c>
      <c r="B77" s="95" t="s">
        <v>920</v>
      </c>
      <c r="C77" s="96" t="s">
        <v>157</v>
      </c>
      <c r="D77" s="97" t="s">
        <v>132</v>
      </c>
      <c r="E77" s="94" t="s">
        <v>522</v>
      </c>
      <c r="F77" s="101" t="s">
        <v>847</v>
      </c>
      <c r="G77" s="98">
        <v>7</v>
      </c>
      <c r="H77" s="99">
        <v>8</v>
      </c>
      <c r="I77" s="98">
        <v>7</v>
      </c>
      <c r="J77" s="98">
        <v>8</v>
      </c>
      <c r="K77" s="98"/>
      <c r="L77" s="100">
        <f t="shared" si="0"/>
        <v>7.7</v>
      </c>
      <c r="M77" s="92"/>
      <c r="N77" s="65"/>
      <c r="O77" s="65"/>
      <c r="P77" s="65"/>
      <c r="Q77" s="65"/>
    </row>
    <row r="78" spans="1:17" s="64" customFormat="1" ht="18.75" customHeight="1">
      <c r="A78" s="94">
        <v>55</v>
      </c>
      <c r="B78" s="95" t="s">
        <v>921</v>
      </c>
      <c r="C78" s="117" t="s">
        <v>50</v>
      </c>
      <c r="D78" s="118" t="s">
        <v>146</v>
      </c>
      <c r="E78" s="94" t="s">
        <v>777</v>
      </c>
      <c r="F78" s="101" t="s">
        <v>847</v>
      </c>
      <c r="G78" s="98">
        <v>6</v>
      </c>
      <c r="H78" s="99">
        <v>8</v>
      </c>
      <c r="I78" s="98">
        <v>6</v>
      </c>
      <c r="J78" s="98">
        <v>7</v>
      </c>
      <c r="K78" s="98"/>
      <c r="L78" s="100">
        <f t="shared" si="0"/>
        <v>6.8</v>
      </c>
      <c r="M78" s="92"/>
      <c r="N78" s="65"/>
      <c r="O78" s="65"/>
      <c r="P78" s="65"/>
      <c r="Q78" s="65"/>
    </row>
    <row r="79" spans="1:17" s="64" customFormat="1" ht="18.75" customHeight="1">
      <c r="A79" s="94">
        <v>56</v>
      </c>
      <c r="B79" s="95" t="s">
        <v>922</v>
      </c>
      <c r="C79" s="96" t="s">
        <v>156</v>
      </c>
      <c r="D79" s="97" t="s">
        <v>379</v>
      </c>
      <c r="E79" s="94" t="s">
        <v>521</v>
      </c>
      <c r="F79" s="101" t="s">
        <v>847</v>
      </c>
      <c r="G79" s="99">
        <v>8</v>
      </c>
      <c r="H79" s="99">
        <v>9</v>
      </c>
      <c r="I79" s="98">
        <v>6</v>
      </c>
      <c r="J79" s="98">
        <v>7</v>
      </c>
      <c r="K79" s="98"/>
      <c r="L79" s="100">
        <f t="shared" si="0"/>
        <v>7.1</v>
      </c>
      <c r="M79" s="92" t="s">
        <v>1402</v>
      </c>
      <c r="N79" s="65"/>
      <c r="O79" s="65"/>
      <c r="P79" s="65"/>
      <c r="Q79" s="65"/>
    </row>
    <row r="80" spans="1:17" s="64" customFormat="1" ht="18.75" customHeight="1">
      <c r="A80" s="94">
        <v>57</v>
      </c>
      <c r="B80" s="95" t="s">
        <v>923</v>
      </c>
      <c r="C80" s="117" t="s">
        <v>401</v>
      </c>
      <c r="D80" s="118" t="s">
        <v>47</v>
      </c>
      <c r="E80" s="94" t="s">
        <v>601</v>
      </c>
      <c r="F80" s="101" t="s">
        <v>852</v>
      </c>
      <c r="G80" s="98">
        <v>6</v>
      </c>
      <c r="H80" s="99">
        <v>7</v>
      </c>
      <c r="I80" s="98">
        <v>4</v>
      </c>
      <c r="J80" s="98">
        <v>3</v>
      </c>
      <c r="K80" s="98"/>
      <c r="L80" s="100">
        <f t="shared" si="0"/>
        <v>3.9</v>
      </c>
      <c r="M80" s="92"/>
      <c r="N80" s="65"/>
      <c r="O80" s="65"/>
      <c r="P80" s="65"/>
      <c r="Q80" s="65"/>
    </row>
    <row r="81" spans="1:17" s="68" customFormat="1" ht="18.75" customHeight="1">
      <c r="A81" s="94">
        <v>58</v>
      </c>
      <c r="B81" s="95" t="s">
        <v>924</v>
      </c>
      <c r="C81" s="117" t="s">
        <v>219</v>
      </c>
      <c r="D81" s="118" t="s">
        <v>53</v>
      </c>
      <c r="E81" s="94" t="s">
        <v>602</v>
      </c>
      <c r="F81" s="101" t="s">
        <v>852</v>
      </c>
      <c r="G81" s="98">
        <v>8</v>
      </c>
      <c r="H81" s="99">
        <v>6</v>
      </c>
      <c r="I81" s="98">
        <v>8</v>
      </c>
      <c r="J81" s="98">
        <v>7</v>
      </c>
      <c r="K81" s="98"/>
      <c r="L81" s="100">
        <f t="shared" si="0"/>
        <v>7.2</v>
      </c>
      <c r="M81" s="92"/>
      <c r="N81" s="65"/>
      <c r="O81" s="65"/>
      <c r="P81" s="65"/>
      <c r="Q81" s="65"/>
    </row>
    <row r="82" spans="1:17" s="68" customFormat="1" ht="18.75" customHeight="1">
      <c r="A82" s="94">
        <v>59</v>
      </c>
      <c r="B82" s="95" t="s">
        <v>925</v>
      </c>
      <c r="C82" s="117" t="s">
        <v>41</v>
      </c>
      <c r="D82" s="118" t="s">
        <v>58</v>
      </c>
      <c r="E82" s="94" t="s">
        <v>604</v>
      </c>
      <c r="F82" s="101" t="s">
        <v>852</v>
      </c>
      <c r="G82" s="98">
        <v>7</v>
      </c>
      <c r="H82" s="99">
        <v>6</v>
      </c>
      <c r="I82" s="98">
        <v>7</v>
      </c>
      <c r="J82" s="98">
        <v>5</v>
      </c>
      <c r="K82" s="98"/>
      <c r="L82" s="100">
        <f t="shared" si="0"/>
        <v>5.7</v>
      </c>
      <c r="M82" s="92"/>
      <c r="N82" s="65"/>
      <c r="O82" s="65"/>
      <c r="P82" s="65"/>
      <c r="Q82" s="65"/>
    </row>
    <row r="83" spans="1:13" s="65" customFormat="1" ht="18.75" customHeight="1">
      <c r="A83" s="94">
        <v>60</v>
      </c>
      <c r="B83" s="95" t="s">
        <v>926</v>
      </c>
      <c r="C83" s="122" t="s">
        <v>221</v>
      </c>
      <c r="D83" s="123" t="s">
        <v>215</v>
      </c>
      <c r="E83" s="112" t="s">
        <v>606</v>
      </c>
      <c r="F83" s="113" t="s">
        <v>852</v>
      </c>
      <c r="G83" s="99">
        <v>7</v>
      </c>
      <c r="H83" s="99">
        <v>7</v>
      </c>
      <c r="I83" s="99">
        <v>6.5</v>
      </c>
      <c r="J83" s="99">
        <v>5</v>
      </c>
      <c r="K83" s="99"/>
      <c r="L83" s="100">
        <f t="shared" si="0"/>
        <v>5.7</v>
      </c>
      <c r="M83" s="92"/>
    </row>
    <row r="84" spans="1:17" s="64" customFormat="1" ht="18.75" customHeight="1">
      <c r="A84" s="94">
        <v>61</v>
      </c>
      <c r="B84" s="95" t="s">
        <v>927</v>
      </c>
      <c r="C84" s="117" t="s">
        <v>147</v>
      </c>
      <c r="D84" s="118" t="s">
        <v>400</v>
      </c>
      <c r="E84" s="94" t="s">
        <v>600</v>
      </c>
      <c r="F84" s="101" t="s">
        <v>852</v>
      </c>
      <c r="G84" s="98">
        <v>8</v>
      </c>
      <c r="H84" s="99">
        <v>7</v>
      </c>
      <c r="I84" s="98">
        <v>7.5</v>
      </c>
      <c r="J84" s="98">
        <v>7</v>
      </c>
      <c r="K84" s="98"/>
      <c r="L84" s="100">
        <f t="shared" si="0"/>
        <v>7.2</v>
      </c>
      <c r="M84" s="92"/>
      <c r="N84" s="65"/>
      <c r="O84" s="65"/>
      <c r="P84" s="65"/>
      <c r="Q84" s="65"/>
    </row>
    <row r="85" spans="1:17" s="64" customFormat="1" ht="18.75" customHeight="1">
      <c r="A85" s="94">
        <v>62</v>
      </c>
      <c r="B85" s="95" t="s">
        <v>928</v>
      </c>
      <c r="C85" s="117" t="s">
        <v>40</v>
      </c>
      <c r="D85" s="118" t="s">
        <v>95</v>
      </c>
      <c r="E85" s="94" t="s">
        <v>603</v>
      </c>
      <c r="F85" s="101" t="s">
        <v>852</v>
      </c>
      <c r="G85" s="98">
        <v>6</v>
      </c>
      <c r="H85" s="99">
        <v>7</v>
      </c>
      <c r="I85" s="98">
        <v>5.5</v>
      </c>
      <c r="J85" s="98">
        <v>8</v>
      </c>
      <c r="K85" s="98"/>
      <c r="L85" s="100">
        <f t="shared" si="0"/>
        <v>7.2</v>
      </c>
      <c r="M85" s="92"/>
      <c r="N85" s="65"/>
      <c r="O85" s="65"/>
      <c r="P85" s="65"/>
      <c r="Q85" s="65"/>
    </row>
    <row r="86" spans="1:17" s="64" customFormat="1" ht="18.75" customHeight="1">
      <c r="A86" s="94">
        <v>63</v>
      </c>
      <c r="B86" s="95" t="s">
        <v>929</v>
      </c>
      <c r="C86" s="117" t="s">
        <v>220</v>
      </c>
      <c r="D86" s="118" t="s">
        <v>64</v>
      </c>
      <c r="E86" s="94" t="s">
        <v>605</v>
      </c>
      <c r="F86" s="101" t="s">
        <v>852</v>
      </c>
      <c r="G86" s="98">
        <v>8</v>
      </c>
      <c r="H86" s="99">
        <v>8</v>
      </c>
      <c r="I86" s="98">
        <v>8</v>
      </c>
      <c r="J86" s="98">
        <v>8</v>
      </c>
      <c r="K86" s="98"/>
      <c r="L86" s="100">
        <f aca="true" t="shared" si="1" ref="L86:L149">ROUND(G86*$C$11+H86*$C$12+I86*$C$13+J86*$C$14+K86*$C$15,1)</f>
        <v>8</v>
      </c>
      <c r="M86" s="92"/>
      <c r="N86" s="65"/>
      <c r="O86" s="65"/>
      <c r="P86" s="65"/>
      <c r="Q86" s="65"/>
    </row>
    <row r="87" spans="1:17" s="64" customFormat="1" ht="18.75" customHeight="1">
      <c r="A87" s="94">
        <v>64</v>
      </c>
      <c r="B87" s="95" t="s">
        <v>930</v>
      </c>
      <c r="C87" s="117" t="s">
        <v>223</v>
      </c>
      <c r="D87" s="118" t="s">
        <v>146</v>
      </c>
      <c r="E87" s="94" t="s">
        <v>608</v>
      </c>
      <c r="F87" s="101" t="s">
        <v>852</v>
      </c>
      <c r="G87" s="98"/>
      <c r="H87" s="99">
        <v>7</v>
      </c>
      <c r="I87" s="99"/>
      <c r="J87" s="98">
        <v>7</v>
      </c>
      <c r="K87" s="98"/>
      <c r="L87" s="100">
        <f t="shared" si="1"/>
        <v>4.9</v>
      </c>
      <c r="M87" s="92" t="s">
        <v>1344</v>
      </c>
      <c r="N87" s="65"/>
      <c r="O87" s="65"/>
      <c r="P87" s="65"/>
      <c r="Q87" s="65"/>
    </row>
    <row r="88" spans="1:17" s="64" customFormat="1" ht="18.75" customHeight="1">
      <c r="A88" s="94">
        <v>65</v>
      </c>
      <c r="B88" s="95" t="s">
        <v>931</v>
      </c>
      <c r="C88" s="117" t="s">
        <v>402</v>
      </c>
      <c r="D88" s="118" t="s">
        <v>222</v>
      </c>
      <c r="E88" s="94" t="s">
        <v>607</v>
      </c>
      <c r="F88" s="101" t="s">
        <v>852</v>
      </c>
      <c r="G88" s="98">
        <v>6</v>
      </c>
      <c r="H88" s="99">
        <v>7</v>
      </c>
      <c r="I88" s="98">
        <v>5</v>
      </c>
      <c r="J88" s="98">
        <v>7</v>
      </c>
      <c r="K88" s="98"/>
      <c r="L88" s="100">
        <f t="shared" si="1"/>
        <v>6.5</v>
      </c>
      <c r="M88" s="92"/>
      <c r="N88" s="65"/>
      <c r="O88" s="65"/>
      <c r="P88" s="65"/>
      <c r="Q88" s="65"/>
    </row>
    <row r="89" spans="1:17" s="64" customFormat="1" ht="18.75" customHeight="1">
      <c r="A89" s="94">
        <v>66</v>
      </c>
      <c r="B89" s="95" t="s">
        <v>932</v>
      </c>
      <c r="C89" s="117" t="s">
        <v>224</v>
      </c>
      <c r="D89" s="118" t="s">
        <v>119</v>
      </c>
      <c r="E89" s="94" t="s">
        <v>609</v>
      </c>
      <c r="F89" s="101" t="s">
        <v>852</v>
      </c>
      <c r="G89" s="98">
        <v>7</v>
      </c>
      <c r="H89" s="99">
        <v>8</v>
      </c>
      <c r="I89" s="98">
        <v>7</v>
      </c>
      <c r="J89" s="98">
        <v>7</v>
      </c>
      <c r="K89" s="98"/>
      <c r="L89" s="100">
        <f t="shared" si="1"/>
        <v>7.1</v>
      </c>
      <c r="M89" s="92"/>
      <c r="N89" s="65"/>
      <c r="O89" s="65"/>
      <c r="P89" s="65"/>
      <c r="Q89" s="65"/>
    </row>
    <row r="90" spans="1:17" s="64" customFormat="1" ht="18.75" customHeight="1">
      <c r="A90" s="94">
        <v>67</v>
      </c>
      <c r="B90" s="95" t="s">
        <v>933</v>
      </c>
      <c r="C90" s="117" t="s">
        <v>122</v>
      </c>
      <c r="D90" s="118" t="s">
        <v>119</v>
      </c>
      <c r="E90" s="94" t="s">
        <v>522</v>
      </c>
      <c r="F90" s="101" t="s">
        <v>852</v>
      </c>
      <c r="G90" s="98">
        <v>6</v>
      </c>
      <c r="H90" s="99">
        <v>8</v>
      </c>
      <c r="I90" s="98">
        <v>6</v>
      </c>
      <c r="J90" s="98">
        <v>8</v>
      </c>
      <c r="K90" s="98"/>
      <c r="L90" s="100">
        <f t="shared" si="1"/>
        <v>7.4</v>
      </c>
      <c r="M90" s="92"/>
      <c r="N90" s="65"/>
      <c r="O90" s="65"/>
      <c r="P90" s="65"/>
      <c r="Q90" s="65"/>
    </row>
    <row r="91" spans="1:13" s="68" customFormat="1" ht="18.75" customHeight="1">
      <c r="A91" s="127">
        <v>68</v>
      </c>
      <c r="B91" s="124" t="s">
        <v>934</v>
      </c>
      <c r="C91" s="125" t="s">
        <v>155</v>
      </c>
      <c r="D91" s="126" t="s">
        <v>72</v>
      </c>
      <c r="E91" s="127" t="s">
        <v>610</v>
      </c>
      <c r="F91" s="146" t="s">
        <v>852</v>
      </c>
      <c r="G91" s="128">
        <v>7</v>
      </c>
      <c r="H91" s="128">
        <v>7</v>
      </c>
      <c r="I91" s="128">
        <v>0</v>
      </c>
      <c r="J91" s="128">
        <v>7</v>
      </c>
      <c r="K91" s="128"/>
      <c r="L91" s="129">
        <f t="shared" si="1"/>
        <v>5.6</v>
      </c>
      <c r="M91" s="155"/>
    </row>
    <row r="92" spans="1:17" s="64" customFormat="1" ht="18.75" customHeight="1">
      <c r="A92" s="94">
        <v>69</v>
      </c>
      <c r="B92" s="95" t="s">
        <v>935</v>
      </c>
      <c r="C92" s="117" t="s">
        <v>315</v>
      </c>
      <c r="D92" s="118" t="s">
        <v>316</v>
      </c>
      <c r="E92" s="94" t="s">
        <v>778</v>
      </c>
      <c r="F92" s="101" t="s">
        <v>848</v>
      </c>
      <c r="G92" s="98">
        <v>6</v>
      </c>
      <c r="H92" s="99">
        <v>7</v>
      </c>
      <c r="I92" s="98">
        <v>6</v>
      </c>
      <c r="J92" s="98">
        <v>7</v>
      </c>
      <c r="K92" s="98"/>
      <c r="L92" s="100">
        <f t="shared" si="1"/>
        <v>6.7</v>
      </c>
      <c r="M92" s="92"/>
      <c r="N92" s="65"/>
      <c r="O92" s="65"/>
      <c r="P92" s="65"/>
      <c r="Q92" s="65"/>
    </row>
    <row r="93" spans="1:17" s="64" customFormat="1" ht="18.75" customHeight="1">
      <c r="A93" s="94">
        <v>70</v>
      </c>
      <c r="B93" s="95" t="s">
        <v>936</v>
      </c>
      <c r="C93" s="96" t="s">
        <v>381</v>
      </c>
      <c r="D93" s="97" t="s">
        <v>74</v>
      </c>
      <c r="E93" s="94" t="s">
        <v>536</v>
      </c>
      <c r="F93" s="101" t="s">
        <v>848</v>
      </c>
      <c r="G93" s="98">
        <v>7</v>
      </c>
      <c r="H93" s="99">
        <v>8</v>
      </c>
      <c r="I93" s="98">
        <v>7</v>
      </c>
      <c r="J93" s="98">
        <v>6</v>
      </c>
      <c r="K93" s="98"/>
      <c r="L93" s="100">
        <f t="shared" si="1"/>
        <v>6.5</v>
      </c>
      <c r="M93" s="92"/>
      <c r="N93" s="65"/>
      <c r="O93" s="65"/>
      <c r="P93" s="65"/>
      <c r="Q93" s="65"/>
    </row>
    <row r="94" spans="1:17" s="64" customFormat="1" ht="18.75" customHeight="1">
      <c r="A94" s="94">
        <v>71</v>
      </c>
      <c r="B94" s="95" t="s">
        <v>937</v>
      </c>
      <c r="C94" s="117" t="s">
        <v>181</v>
      </c>
      <c r="D94" s="118" t="s">
        <v>173</v>
      </c>
      <c r="E94" s="94" t="s">
        <v>716</v>
      </c>
      <c r="F94" s="101" t="s">
        <v>848</v>
      </c>
      <c r="G94" s="99">
        <v>6</v>
      </c>
      <c r="H94" s="99">
        <v>8</v>
      </c>
      <c r="I94" s="98">
        <v>5</v>
      </c>
      <c r="J94" s="98">
        <v>6</v>
      </c>
      <c r="K94" s="98"/>
      <c r="L94" s="100">
        <f t="shared" si="1"/>
        <v>6</v>
      </c>
      <c r="M94" s="92"/>
      <c r="N94" s="65"/>
      <c r="O94" s="65"/>
      <c r="P94" s="65"/>
      <c r="Q94" s="65"/>
    </row>
    <row r="95" spans="1:17" s="64" customFormat="1" ht="18.75" customHeight="1">
      <c r="A95" s="94">
        <v>72</v>
      </c>
      <c r="B95" s="95" t="s">
        <v>938</v>
      </c>
      <c r="C95" s="96" t="s">
        <v>172</v>
      </c>
      <c r="D95" s="97" t="s">
        <v>173</v>
      </c>
      <c r="E95" s="94" t="s">
        <v>538</v>
      </c>
      <c r="F95" s="101" t="s">
        <v>848</v>
      </c>
      <c r="G95" s="98">
        <v>6</v>
      </c>
      <c r="H95" s="99">
        <v>9</v>
      </c>
      <c r="I95" s="98">
        <v>6</v>
      </c>
      <c r="J95" s="98">
        <v>2</v>
      </c>
      <c r="K95" s="98"/>
      <c r="L95" s="100">
        <f t="shared" si="1"/>
        <v>3.9</v>
      </c>
      <c r="M95" s="92"/>
      <c r="N95" s="65"/>
      <c r="O95" s="65"/>
      <c r="P95" s="65"/>
      <c r="Q95" s="65"/>
    </row>
    <row r="96" spans="1:17" s="64" customFormat="1" ht="18.75" customHeight="1">
      <c r="A96" s="94">
        <v>73</v>
      </c>
      <c r="B96" s="95" t="s">
        <v>939</v>
      </c>
      <c r="C96" s="96" t="s">
        <v>382</v>
      </c>
      <c r="D96" s="97" t="s">
        <v>158</v>
      </c>
      <c r="E96" s="94" t="s">
        <v>539</v>
      </c>
      <c r="F96" s="101" t="s">
        <v>848</v>
      </c>
      <c r="G96" s="98">
        <v>6</v>
      </c>
      <c r="H96" s="99">
        <v>7</v>
      </c>
      <c r="I96" s="98">
        <v>5.5</v>
      </c>
      <c r="J96" s="98">
        <v>3</v>
      </c>
      <c r="K96" s="98"/>
      <c r="L96" s="100">
        <f t="shared" si="1"/>
        <v>4.2</v>
      </c>
      <c r="M96" s="92"/>
      <c r="N96" s="65"/>
      <c r="O96" s="65"/>
      <c r="P96" s="65"/>
      <c r="Q96" s="65"/>
    </row>
    <row r="97" spans="1:17" s="64" customFormat="1" ht="18.75" customHeight="1">
      <c r="A97" s="94">
        <v>74</v>
      </c>
      <c r="B97" s="95" t="s">
        <v>940</v>
      </c>
      <c r="C97" s="96" t="s">
        <v>165</v>
      </c>
      <c r="D97" s="97" t="s">
        <v>166</v>
      </c>
      <c r="E97" s="94" t="s">
        <v>530</v>
      </c>
      <c r="F97" s="101" t="s">
        <v>848</v>
      </c>
      <c r="G97" s="98">
        <v>7</v>
      </c>
      <c r="H97" s="99">
        <v>8</v>
      </c>
      <c r="I97" s="98">
        <v>7</v>
      </c>
      <c r="J97" s="98">
        <v>7</v>
      </c>
      <c r="K97" s="98"/>
      <c r="L97" s="100">
        <f t="shared" si="1"/>
        <v>7.1</v>
      </c>
      <c r="M97" s="92"/>
      <c r="N97" s="65"/>
      <c r="O97" s="65"/>
      <c r="P97" s="65"/>
      <c r="Q97" s="65"/>
    </row>
    <row r="98" spans="1:17" s="64" customFormat="1" ht="18.75" customHeight="1">
      <c r="A98" s="94">
        <v>75</v>
      </c>
      <c r="B98" s="95" t="s">
        <v>941</v>
      </c>
      <c r="C98" s="117" t="s">
        <v>322</v>
      </c>
      <c r="D98" s="118" t="s">
        <v>241</v>
      </c>
      <c r="E98" s="94" t="s">
        <v>786</v>
      </c>
      <c r="F98" s="101" t="s">
        <v>848</v>
      </c>
      <c r="G98" s="98">
        <v>6</v>
      </c>
      <c r="H98" s="99">
        <v>8</v>
      </c>
      <c r="I98" s="98">
        <v>6</v>
      </c>
      <c r="J98" s="98">
        <v>3</v>
      </c>
      <c r="K98" s="98"/>
      <c r="L98" s="100">
        <f t="shared" si="1"/>
        <v>4.4</v>
      </c>
      <c r="M98" s="92"/>
      <c r="N98" s="65"/>
      <c r="O98" s="65"/>
      <c r="P98" s="65"/>
      <c r="Q98" s="65"/>
    </row>
    <row r="99" spans="1:17" s="64" customFormat="1" ht="18.75" customHeight="1">
      <c r="A99" s="94">
        <v>76</v>
      </c>
      <c r="B99" s="95" t="s">
        <v>942</v>
      </c>
      <c r="C99" s="96" t="s">
        <v>69</v>
      </c>
      <c r="D99" s="97" t="s">
        <v>58</v>
      </c>
      <c r="E99" s="94" t="s">
        <v>521</v>
      </c>
      <c r="F99" s="101" t="s">
        <v>848</v>
      </c>
      <c r="G99" s="98">
        <v>6</v>
      </c>
      <c r="H99" s="99">
        <v>8</v>
      </c>
      <c r="I99" s="98">
        <v>4</v>
      </c>
      <c r="J99" s="98">
        <v>5</v>
      </c>
      <c r="K99" s="98"/>
      <c r="L99" s="100">
        <f t="shared" si="1"/>
        <v>5.2</v>
      </c>
      <c r="M99" s="92"/>
      <c r="N99" s="65"/>
      <c r="O99" s="65"/>
      <c r="P99" s="65"/>
      <c r="Q99" s="65"/>
    </row>
    <row r="100" spans="1:17" s="64" customFormat="1" ht="18.75" customHeight="1">
      <c r="A100" s="94">
        <v>77</v>
      </c>
      <c r="B100" s="95" t="s">
        <v>943</v>
      </c>
      <c r="C100" s="96" t="s">
        <v>380</v>
      </c>
      <c r="D100" s="97" t="s">
        <v>59</v>
      </c>
      <c r="E100" s="94" t="s">
        <v>528</v>
      </c>
      <c r="F100" s="101" t="s">
        <v>848</v>
      </c>
      <c r="G100" s="98">
        <v>6</v>
      </c>
      <c r="H100" s="99">
        <v>8</v>
      </c>
      <c r="I100" s="98">
        <v>6</v>
      </c>
      <c r="J100" s="98">
        <v>7</v>
      </c>
      <c r="K100" s="98"/>
      <c r="L100" s="100">
        <f t="shared" si="1"/>
        <v>6.8</v>
      </c>
      <c r="M100" s="92"/>
      <c r="N100" s="65"/>
      <c r="O100" s="65"/>
      <c r="P100" s="65"/>
      <c r="Q100" s="65"/>
    </row>
    <row r="101" spans="1:17" s="64" customFormat="1" ht="18.75" customHeight="1">
      <c r="A101" s="94">
        <v>78</v>
      </c>
      <c r="B101" s="95" t="s">
        <v>944</v>
      </c>
      <c r="C101" s="117" t="s">
        <v>61</v>
      </c>
      <c r="D101" s="118" t="s">
        <v>59</v>
      </c>
      <c r="E101" s="94" t="s">
        <v>804</v>
      </c>
      <c r="F101" s="101" t="s">
        <v>848</v>
      </c>
      <c r="G101" s="98">
        <v>6</v>
      </c>
      <c r="H101" s="99">
        <v>8</v>
      </c>
      <c r="I101" s="98">
        <v>6</v>
      </c>
      <c r="J101" s="98">
        <v>6</v>
      </c>
      <c r="K101" s="98"/>
      <c r="L101" s="100">
        <f t="shared" si="1"/>
        <v>6.2</v>
      </c>
      <c r="M101" s="92"/>
      <c r="N101" s="65"/>
      <c r="O101" s="65"/>
      <c r="P101" s="65"/>
      <c r="Q101" s="65"/>
    </row>
    <row r="102" spans="1:17" s="64" customFormat="1" ht="18.75" customHeight="1">
      <c r="A102" s="94">
        <v>79</v>
      </c>
      <c r="B102" s="95" t="s">
        <v>945</v>
      </c>
      <c r="C102" s="96" t="s">
        <v>167</v>
      </c>
      <c r="D102" s="97" t="s">
        <v>113</v>
      </c>
      <c r="E102" s="94" t="s">
        <v>531</v>
      </c>
      <c r="F102" s="101" t="s">
        <v>848</v>
      </c>
      <c r="G102" s="98">
        <v>6</v>
      </c>
      <c r="H102" s="99">
        <v>8</v>
      </c>
      <c r="I102" s="98">
        <v>6</v>
      </c>
      <c r="J102" s="98">
        <v>7</v>
      </c>
      <c r="K102" s="98"/>
      <c r="L102" s="100">
        <f t="shared" si="1"/>
        <v>6.8</v>
      </c>
      <c r="M102" s="92"/>
      <c r="N102" s="65"/>
      <c r="O102" s="65"/>
      <c r="P102" s="65"/>
      <c r="Q102" s="65"/>
    </row>
    <row r="103" spans="1:17" s="64" customFormat="1" ht="18.75" customHeight="1">
      <c r="A103" s="94">
        <v>80</v>
      </c>
      <c r="B103" s="95" t="s">
        <v>946</v>
      </c>
      <c r="C103" s="96" t="s">
        <v>384</v>
      </c>
      <c r="D103" s="97" t="s">
        <v>179</v>
      </c>
      <c r="E103" s="94" t="s">
        <v>543</v>
      </c>
      <c r="F103" s="101" t="s">
        <v>848</v>
      </c>
      <c r="G103" s="98">
        <v>6</v>
      </c>
      <c r="H103" s="99">
        <v>8</v>
      </c>
      <c r="I103" s="98">
        <v>4</v>
      </c>
      <c r="J103" s="98">
        <v>7</v>
      </c>
      <c r="K103" s="98"/>
      <c r="L103" s="100">
        <f t="shared" si="1"/>
        <v>6.4</v>
      </c>
      <c r="M103" s="92"/>
      <c r="N103" s="65"/>
      <c r="O103" s="65"/>
      <c r="P103" s="65"/>
      <c r="Q103" s="65"/>
    </row>
    <row r="104" spans="1:17" s="64" customFormat="1" ht="18.75" customHeight="1">
      <c r="A104" s="94">
        <v>81</v>
      </c>
      <c r="B104" s="95" t="s">
        <v>947</v>
      </c>
      <c r="C104" s="96" t="s">
        <v>163</v>
      </c>
      <c r="D104" s="97" t="s">
        <v>95</v>
      </c>
      <c r="E104" s="94" t="s">
        <v>529</v>
      </c>
      <c r="F104" s="101" t="s">
        <v>848</v>
      </c>
      <c r="G104" s="98">
        <v>6</v>
      </c>
      <c r="H104" s="99">
        <v>8</v>
      </c>
      <c r="I104" s="98">
        <v>5</v>
      </c>
      <c r="J104" s="98">
        <v>3</v>
      </c>
      <c r="K104" s="98"/>
      <c r="L104" s="100">
        <f t="shared" si="1"/>
        <v>4.2</v>
      </c>
      <c r="M104" s="92"/>
      <c r="N104" s="65"/>
      <c r="O104" s="65"/>
      <c r="P104" s="65"/>
      <c r="Q104" s="65"/>
    </row>
    <row r="105" spans="1:17" s="64" customFormat="1" ht="18.75" customHeight="1">
      <c r="A105" s="94">
        <v>82</v>
      </c>
      <c r="B105" s="95" t="s">
        <v>948</v>
      </c>
      <c r="C105" s="96" t="s">
        <v>177</v>
      </c>
      <c r="D105" s="97" t="s">
        <v>62</v>
      </c>
      <c r="E105" s="94" t="s">
        <v>541</v>
      </c>
      <c r="F105" s="101" t="s">
        <v>848</v>
      </c>
      <c r="G105" s="98">
        <v>6</v>
      </c>
      <c r="H105" s="99">
        <v>8</v>
      </c>
      <c r="I105" s="98">
        <v>5</v>
      </c>
      <c r="J105" s="98">
        <v>5</v>
      </c>
      <c r="K105" s="98"/>
      <c r="L105" s="100">
        <f t="shared" si="1"/>
        <v>5.4</v>
      </c>
      <c r="M105" s="92"/>
      <c r="N105" s="65"/>
      <c r="O105" s="65"/>
      <c r="P105" s="65"/>
      <c r="Q105" s="65"/>
    </row>
    <row r="106" spans="1:17" s="68" customFormat="1" ht="18.75" customHeight="1">
      <c r="A106" s="94">
        <v>83</v>
      </c>
      <c r="B106" s="95" t="s">
        <v>949</v>
      </c>
      <c r="C106" s="96" t="s">
        <v>155</v>
      </c>
      <c r="D106" s="97" t="s">
        <v>178</v>
      </c>
      <c r="E106" s="94" t="s">
        <v>542</v>
      </c>
      <c r="F106" s="101" t="s">
        <v>848</v>
      </c>
      <c r="G106" s="98">
        <v>6</v>
      </c>
      <c r="H106" s="99">
        <v>8</v>
      </c>
      <c r="I106" s="98">
        <v>0</v>
      </c>
      <c r="J106" s="98">
        <v>5</v>
      </c>
      <c r="K106" s="98"/>
      <c r="L106" s="100">
        <f t="shared" si="1"/>
        <v>4.4</v>
      </c>
      <c r="M106" s="92"/>
      <c r="N106" s="65"/>
      <c r="O106" s="65"/>
      <c r="P106" s="65"/>
      <c r="Q106" s="65"/>
    </row>
    <row r="107" spans="1:17" s="68" customFormat="1" ht="18.75" customHeight="1">
      <c r="A107" s="94">
        <v>84</v>
      </c>
      <c r="B107" s="95" t="s">
        <v>950</v>
      </c>
      <c r="C107" s="96" t="s">
        <v>175</v>
      </c>
      <c r="D107" s="97" t="s">
        <v>176</v>
      </c>
      <c r="E107" s="94" t="s">
        <v>472</v>
      </c>
      <c r="F107" s="101" t="s">
        <v>848</v>
      </c>
      <c r="G107" s="98">
        <v>6</v>
      </c>
      <c r="H107" s="99">
        <v>8</v>
      </c>
      <c r="I107" s="98">
        <v>6</v>
      </c>
      <c r="J107" s="98">
        <v>5</v>
      </c>
      <c r="K107" s="98"/>
      <c r="L107" s="100">
        <f t="shared" si="1"/>
        <v>5.6</v>
      </c>
      <c r="M107" s="92"/>
      <c r="N107" s="65"/>
      <c r="O107" s="65"/>
      <c r="P107" s="65"/>
      <c r="Q107" s="65"/>
    </row>
    <row r="108" spans="1:17" s="64" customFormat="1" ht="18.75" customHeight="1">
      <c r="A108" s="94">
        <v>85</v>
      </c>
      <c r="B108" s="95" t="s">
        <v>951</v>
      </c>
      <c r="C108" s="96" t="s">
        <v>174</v>
      </c>
      <c r="D108" s="97" t="s">
        <v>383</v>
      </c>
      <c r="E108" s="94" t="s">
        <v>540</v>
      </c>
      <c r="F108" s="101" t="s">
        <v>848</v>
      </c>
      <c r="G108" s="98">
        <v>6</v>
      </c>
      <c r="H108" s="99">
        <v>8</v>
      </c>
      <c r="I108" s="98">
        <v>5</v>
      </c>
      <c r="J108" s="98">
        <v>7</v>
      </c>
      <c r="K108" s="98"/>
      <c r="L108" s="100">
        <f t="shared" si="1"/>
        <v>6.6</v>
      </c>
      <c r="M108" s="92"/>
      <c r="N108" s="65"/>
      <c r="O108" s="65"/>
      <c r="P108" s="65"/>
      <c r="Q108" s="65"/>
    </row>
    <row r="109" spans="1:15" s="65" customFormat="1" ht="18.75" customHeight="1">
      <c r="A109" s="112">
        <v>86</v>
      </c>
      <c r="B109" s="95" t="s">
        <v>952</v>
      </c>
      <c r="C109" s="96" t="s">
        <v>170</v>
      </c>
      <c r="D109" s="97" t="s">
        <v>171</v>
      </c>
      <c r="E109" s="112" t="s">
        <v>534</v>
      </c>
      <c r="F109" s="113" t="s">
        <v>848</v>
      </c>
      <c r="G109" s="99">
        <v>6</v>
      </c>
      <c r="H109" s="99">
        <v>7</v>
      </c>
      <c r="I109" s="99">
        <v>0</v>
      </c>
      <c r="J109" s="99">
        <v>4</v>
      </c>
      <c r="K109" s="99"/>
      <c r="L109" s="100">
        <f t="shared" si="1"/>
        <v>3.7</v>
      </c>
      <c r="M109" s="92" t="s">
        <v>1349</v>
      </c>
      <c r="O109" s="65" t="s">
        <v>1398</v>
      </c>
    </row>
    <row r="110" spans="1:17" s="68" customFormat="1" ht="18.75" customHeight="1">
      <c r="A110" s="94">
        <v>87</v>
      </c>
      <c r="B110" s="95" t="s">
        <v>953</v>
      </c>
      <c r="C110" s="96" t="s">
        <v>167</v>
      </c>
      <c r="D110" s="97" t="s">
        <v>66</v>
      </c>
      <c r="E110" s="94" t="s">
        <v>535</v>
      </c>
      <c r="F110" s="101" t="s">
        <v>848</v>
      </c>
      <c r="G110" s="98">
        <v>6</v>
      </c>
      <c r="H110" s="99">
        <v>8</v>
      </c>
      <c r="I110" s="98">
        <v>5</v>
      </c>
      <c r="J110" s="98">
        <v>3</v>
      </c>
      <c r="K110" s="98"/>
      <c r="L110" s="100">
        <f t="shared" si="1"/>
        <v>4.2</v>
      </c>
      <c r="M110" s="92"/>
      <c r="N110" s="65"/>
      <c r="O110" s="65"/>
      <c r="P110" s="65"/>
      <c r="Q110" s="65"/>
    </row>
    <row r="111" spans="1:17" s="66" customFormat="1" ht="18.75" customHeight="1">
      <c r="A111" s="114">
        <v>88</v>
      </c>
      <c r="B111" s="105" t="s">
        <v>954</v>
      </c>
      <c r="C111" s="106" t="s">
        <v>82</v>
      </c>
      <c r="D111" s="107" t="s">
        <v>168</v>
      </c>
      <c r="E111" s="114" t="s">
        <v>532</v>
      </c>
      <c r="F111" s="116" t="s">
        <v>848</v>
      </c>
      <c r="G111" s="115"/>
      <c r="H111" s="108"/>
      <c r="I111" s="115"/>
      <c r="J111" s="115"/>
      <c r="K111" s="115"/>
      <c r="L111" s="109">
        <f t="shared" si="1"/>
        <v>0</v>
      </c>
      <c r="M111" s="111" t="s">
        <v>1345</v>
      </c>
      <c r="N111" s="79"/>
      <c r="O111" s="79"/>
      <c r="P111" s="79"/>
      <c r="Q111" s="79"/>
    </row>
    <row r="112" spans="1:17" s="64" customFormat="1" ht="18.75" customHeight="1">
      <c r="A112" s="94">
        <v>89</v>
      </c>
      <c r="B112" s="95" t="s">
        <v>955</v>
      </c>
      <c r="C112" s="117" t="s">
        <v>208</v>
      </c>
      <c r="D112" s="118" t="s">
        <v>121</v>
      </c>
      <c r="E112" s="94" t="s">
        <v>739</v>
      </c>
      <c r="F112" s="101" t="s">
        <v>848</v>
      </c>
      <c r="G112" s="98">
        <v>6</v>
      </c>
      <c r="H112" s="99">
        <v>8</v>
      </c>
      <c r="I112" s="98">
        <v>4</v>
      </c>
      <c r="J112" s="98">
        <v>0</v>
      </c>
      <c r="K112" s="98"/>
      <c r="L112" s="100">
        <f t="shared" si="1"/>
        <v>2.2</v>
      </c>
      <c r="M112" s="92" t="s">
        <v>1350</v>
      </c>
      <c r="N112" s="65"/>
      <c r="O112" s="65"/>
      <c r="P112" s="65"/>
      <c r="Q112" s="65"/>
    </row>
    <row r="113" spans="1:13" s="65" customFormat="1" ht="18.75" customHeight="1">
      <c r="A113" s="94">
        <v>90</v>
      </c>
      <c r="B113" s="95" t="s">
        <v>956</v>
      </c>
      <c r="C113" s="96" t="s">
        <v>155</v>
      </c>
      <c r="D113" s="97" t="s">
        <v>119</v>
      </c>
      <c r="E113" s="112" t="s">
        <v>537</v>
      </c>
      <c r="F113" s="113" t="s">
        <v>848</v>
      </c>
      <c r="G113" s="99">
        <v>6</v>
      </c>
      <c r="H113" s="99">
        <v>9</v>
      </c>
      <c r="I113" s="99">
        <v>9</v>
      </c>
      <c r="J113" s="99">
        <v>8</v>
      </c>
      <c r="K113" s="99"/>
      <c r="L113" s="100">
        <f t="shared" si="1"/>
        <v>8.1</v>
      </c>
      <c r="M113" s="92"/>
    </row>
    <row r="114" spans="1:17" s="66" customFormat="1" ht="18.75" customHeight="1">
      <c r="A114" s="114">
        <v>91</v>
      </c>
      <c r="B114" s="105" t="s">
        <v>957</v>
      </c>
      <c r="C114" s="106" t="s">
        <v>180</v>
      </c>
      <c r="D114" s="107" t="s">
        <v>119</v>
      </c>
      <c r="E114" s="114" t="s">
        <v>544</v>
      </c>
      <c r="F114" s="116" t="s">
        <v>848</v>
      </c>
      <c r="G114" s="115"/>
      <c r="H114" s="108"/>
      <c r="I114" s="115"/>
      <c r="J114" s="115"/>
      <c r="K114" s="115"/>
      <c r="L114" s="109">
        <f t="shared" si="1"/>
        <v>0</v>
      </c>
      <c r="M114" s="111" t="s">
        <v>1343</v>
      </c>
      <c r="N114" s="79"/>
      <c r="O114" s="79"/>
      <c r="P114" s="79"/>
      <c r="Q114" s="79"/>
    </row>
    <row r="115" spans="1:17" s="64" customFormat="1" ht="18.75" customHeight="1">
      <c r="A115" s="94">
        <v>92</v>
      </c>
      <c r="B115" s="95" t="s">
        <v>958</v>
      </c>
      <c r="C115" s="96" t="s">
        <v>169</v>
      </c>
      <c r="D115" s="97" t="s">
        <v>72</v>
      </c>
      <c r="E115" s="94" t="s">
        <v>533</v>
      </c>
      <c r="F115" s="101" t="s">
        <v>848</v>
      </c>
      <c r="G115" s="98">
        <v>6</v>
      </c>
      <c r="H115" s="99">
        <v>8</v>
      </c>
      <c r="I115" s="98">
        <v>5</v>
      </c>
      <c r="J115" s="98">
        <v>5</v>
      </c>
      <c r="K115" s="98"/>
      <c r="L115" s="100">
        <f t="shared" si="1"/>
        <v>5.4</v>
      </c>
      <c r="M115" s="92"/>
      <c r="N115" s="65"/>
      <c r="O115" s="65"/>
      <c r="P115" s="65"/>
      <c r="Q115" s="65"/>
    </row>
    <row r="116" spans="1:17" s="64" customFormat="1" ht="18.75" customHeight="1">
      <c r="A116" s="94">
        <v>93</v>
      </c>
      <c r="B116" s="95" t="s">
        <v>959</v>
      </c>
      <c r="C116" s="96" t="s">
        <v>164</v>
      </c>
      <c r="D116" s="97" t="s">
        <v>105</v>
      </c>
      <c r="E116" s="94" t="s">
        <v>486</v>
      </c>
      <c r="F116" s="101" t="s">
        <v>848</v>
      </c>
      <c r="G116" s="98">
        <v>6</v>
      </c>
      <c r="H116" s="99">
        <v>8</v>
      </c>
      <c r="I116" s="98">
        <v>4</v>
      </c>
      <c r="J116" s="98">
        <v>6</v>
      </c>
      <c r="K116" s="98"/>
      <c r="L116" s="100">
        <f t="shared" si="1"/>
        <v>5.8</v>
      </c>
      <c r="M116" s="92"/>
      <c r="N116" s="65"/>
      <c r="O116" s="65"/>
      <c r="P116" s="65"/>
      <c r="Q116" s="65"/>
    </row>
    <row r="117" spans="1:17" s="64" customFormat="1" ht="18.75" customHeight="1">
      <c r="A117" s="94">
        <v>94</v>
      </c>
      <c r="B117" s="95" t="s">
        <v>960</v>
      </c>
      <c r="C117" s="117" t="s">
        <v>234</v>
      </c>
      <c r="D117" s="118" t="s">
        <v>332</v>
      </c>
      <c r="E117" s="94" t="s">
        <v>692</v>
      </c>
      <c r="F117" s="101" t="s">
        <v>859</v>
      </c>
      <c r="G117" s="98">
        <v>7</v>
      </c>
      <c r="H117" s="99">
        <v>7</v>
      </c>
      <c r="I117" s="98">
        <v>7</v>
      </c>
      <c r="J117" s="98">
        <v>8</v>
      </c>
      <c r="K117" s="98"/>
      <c r="L117" s="100">
        <f t="shared" si="1"/>
        <v>7.6</v>
      </c>
      <c r="M117" s="92"/>
      <c r="N117" s="65"/>
      <c r="O117" s="65"/>
      <c r="P117" s="65"/>
      <c r="Q117" s="65"/>
    </row>
    <row r="118" spans="1:17" s="64" customFormat="1" ht="18.75" customHeight="1">
      <c r="A118" s="94">
        <v>95</v>
      </c>
      <c r="B118" s="95" t="s">
        <v>961</v>
      </c>
      <c r="C118" s="117" t="s">
        <v>334</v>
      </c>
      <c r="D118" s="118" t="s">
        <v>45</v>
      </c>
      <c r="E118" s="94" t="s">
        <v>814</v>
      </c>
      <c r="F118" s="101" t="s">
        <v>860</v>
      </c>
      <c r="G118" s="98">
        <v>7</v>
      </c>
      <c r="H118" s="99">
        <v>7</v>
      </c>
      <c r="I118" s="98">
        <v>7</v>
      </c>
      <c r="J118" s="98">
        <v>7</v>
      </c>
      <c r="K118" s="98"/>
      <c r="L118" s="100">
        <f t="shared" si="1"/>
        <v>7</v>
      </c>
      <c r="M118" s="92"/>
      <c r="N118" s="65"/>
      <c r="O118" s="65"/>
      <c r="P118" s="65"/>
      <c r="Q118" s="65"/>
    </row>
    <row r="119" spans="1:17" s="64" customFormat="1" ht="18.75" customHeight="1">
      <c r="A119" s="94">
        <v>96</v>
      </c>
      <c r="B119" s="95" t="s">
        <v>962</v>
      </c>
      <c r="C119" s="117" t="s">
        <v>446</v>
      </c>
      <c r="D119" s="118" t="s">
        <v>48</v>
      </c>
      <c r="E119" s="94" t="s">
        <v>807</v>
      </c>
      <c r="F119" s="101" t="s">
        <v>859</v>
      </c>
      <c r="G119" s="98">
        <v>6</v>
      </c>
      <c r="H119" s="99">
        <v>9</v>
      </c>
      <c r="I119" s="98">
        <v>6</v>
      </c>
      <c r="J119" s="98">
        <v>9</v>
      </c>
      <c r="K119" s="98"/>
      <c r="L119" s="100">
        <f t="shared" si="1"/>
        <v>8.1</v>
      </c>
      <c r="M119" s="92"/>
      <c r="N119" s="65"/>
      <c r="O119" s="65"/>
      <c r="P119" s="65"/>
      <c r="Q119" s="65"/>
    </row>
    <row r="120" spans="1:13" s="65" customFormat="1" ht="18.75" customHeight="1">
      <c r="A120" s="94">
        <v>97</v>
      </c>
      <c r="B120" s="95" t="s">
        <v>963</v>
      </c>
      <c r="C120" s="122" t="s">
        <v>155</v>
      </c>
      <c r="D120" s="123" t="s">
        <v>53</v>
      </c>
      <c r="E120" s="112" t="s">
        <v>806</v>
      </c>
      <c r="F120" s="113" t="s">
        <v>859</v>
      </c>
      <c r="G120" s="99">
        <v>6</v>
      </c>
      <c r="H120" s="99">
        <v>7</v>
      </c>
      <c r="I120" s="99">
        <v>4</v>
      </c>
      <c r="J120" s="99">
        <v>3</v>
      </c>
      <c r="K120" s="99"/>
      <c r="L120" s="100">
        <f t="shared" si="1"/>
        <v>3.9</v>
      </c>
      <c r="M120" s="92"/>
    </row>
    <row r="121" spans="1:17" s="64" customFormat="1" ht="18.75" customHeight="1">
      <c r="A121" s="94">
        <v>98</v>
      </c>
      <c r="B121" s="95" t="s">
        <v>964</v>
      </c>
      <c r="C121" s="117" t="s">
        <v>330</v>
      </c>
      <c r="D121" s="118" t="s">
        <v>84</v>
      </c>
      <c r="E121" s="94" t="s">
        <v>717</v>
      </c>
      <c r="F121" s="101" t="s">
        <v>859</v>
      </c>
      <c r="G121" s="98">
        <v>6</v>
      </c>
      <c r="H121" s="99">
        <v>7</v>
      </c>
      <c r="I121" s="98">
        <v>4</v>
      </c>
      <c r="J121" s="98">
        <v>6</v>
      </c>
      <c r="K121" s="98"/>
      <c r="L121" s="100">
        <f t="shared" si="1"/>
        <v>5.7</v>
      </c>
      <c r="M121" s="92"/>
      <c r="N121" s="65"/>
      <c r="O121" s="65"/>
      <c r="P121" s="65"/>
      <c r="Q121" s="65"/>
    </row>
    <row r="122" spans="1:17" s="64" customFormat="1" ht="18.75" customHeight="1">
      <c r="A122" s="94">
        <v>99</v>
      </c>
      <c r="B122" s="95" t="s">
        <v>965</v>
      </c>
      <c r="C122" s="117" t="s">
        <v>130</v>
      </c>
      <c r="D122" s="118" t="s">
        <v>55</v>
      </c>
      <c r="E122" s="94" t="s">
        <v>787</v>
      </c>
      <c r="F122" s="101" t="s">
        <v>859</v>
      </c>
      <c r="G122" s="98">
        <v>7</v>
      </c>
      <c r="H122" s="99">
        <v>8</v>
      </c>
      <c r="I122" s="98">
        <v>6.5</v>
      </c>
      <c r="J122" s="98">
        <v>8</v>
      </c>
      <c r="K122" s="98"/>
      <c r="L122" s="100">
        <f t="shared" si="1"/>
        <v>7.6</v>
      </c>
      <c r="M122" s="92"/>
      <c r="N122" s="65"/>
      <c r="O122" s="65"/>
      <c r="P122" s="65"/>
      <c r="Q122" s="65"/>
    </row>
    <row r="123" spans="1:17" s="64" customFormat="1" ht="18.75" customHeight="1">
      <c r="A123" s="94">
        <v>100</v>
      </c>
      <c r="B123" s="95" t="s">
        <v>966</v>
      </c>
      <c r="C123" s="117" t="s">
        <v>155</v>
      </c>
      <c r="D123" s="118" t="s">
        <v>58</v>
      </c>
      <c r="E123" s="94" t="s">
        <v>811</v>
      </c>
      <c r="F123" s="101" t="s">
        <v>859</v>
      </c>
      <c r="G123" s="98">
        <v>6</v>
      </c>
      <c r="H123" s="99">
        <v>7</v>
      </c>
      <c r="I123" s="98">
        <v>5.5</v>
      </c>
      <c r="J123" s="98">
        <v>7</v>
      </c>
      <c r="K123" s="98"/>
      <c r="L123" s="100">
        <f t="shared" si="1"/>
        <v>6.6</v>
      </c>
      <c r="M123" s="92"/>
      <c r="N123" s="65"/>
      <c r="O123" s="65"/>
      <c r="P123" s="65"/>
      <c r="Q123" s="65"/>
    </row>
    <row r="124" spans="1:17" s="64" customFormat="1" ht="18.75" customHeight="1">
      <c r="A124" s="94">
        <v>101</v>
      </c>
      <c r="B124" s="95" t="s">
        <v>967</v>
      </c>
      <c r="C124" s="117" t="s">
        <v>41</v>
      </c>
      <c r="D124" s="118" t="s">
        <v>116</v>
      </c>
      <c r="E124" s="94" t="s">
        <v>808</v>
      </c>
      <c r="F124" s="101" t="s">
        <v>859</v>
      </c>
      <c r="G124" s="98">
        <v>7</v>
      </c>
      <c r="H124" s="99">
        <v>8</v>
      </c>
      <c r="I124" s="98">
        <v>7</v>
      </c>
      <c r="J124" s="98">
        <v>7</v>
      </c>
      <c r="K124" s="98"/>
      <c r="L124" s="100">
        <f t="shared" si="1"/>
        <v>7.1</v>
      </c>
      <c r="M124" s="92"/>
      <c r="N124" s="65"/>
      <c r="O124" s="65"/>
      <c r="P124" s="65"/>
      <c r="Q124" s="65"/>
    </row>
    <row r="125" spans="1:17" s="64" customFormat="1" ht="18.75" customHeight="1">
      <c r="A125" s="94">
        <v>102</v>
      </c>
      <c r="B125" s="95" t="s">
        <v>968</v>
      </c>
      <c r="C125" s="117" t="s">
        <v>172</v>
      </c>
      <c r="D125" s="118" t="s">
        <v>331</v>
      </c>
      <c r="E125" s="94" t="s">
        <v>665</v>
      </c>
      <c r="F125" s="101" t="s">
        <v>859</v>
      </c>
      <c r="G125" s="98">
        <v>7</v>
      </c>
      <c r="H125" s="99">
        <v>8</v>
      </c>
      <c r="I125" s="98">
        <v>6</v>
      </c>
      <c r="J125" s="98">
        <v>8</v>
      </c>
      <c r="K125" s="98"/>
      <c r="L125" s="100">
        <f t="shared" si="1"/>
        <v>7.5</v>
      </c>
      <c r="M125" s="92"/>
      <c r="N125" s="65"/>
      <c r="O125" s="65"/>
      <c r="P125" s="65"/>
      <c r="Q125" s="65"/>
    </row>
    <row r="126" spans="1:17" s="64" customFormat="1" ht="18.75" customHeight="1">
      <c r="A126" s="94">
        <v>103</v>
      </c>
      <c r="B126" s="95" t="s">
        <v>969</v>
      </c>
      <c r="C126" s="117" t="s">
        <v>447</v>
      </c>
      <c r="D126" s="118" t="s">
        <v>98</v>
      </c>
      <c r="E126" s="94" t="s">
        <v>810</v>
      </c>
      <c r="F126" s="101" t="s">
        <v>859</v>
      </c>
      <c r="G126" s="98">
        <v>6</v>
      </c>
      <c r="H126" s="99">
        <v>6</v>
      </c>
      <c r="I126" s="98">
        <v>5</v>
      </c>
      <c r="J126" s="98">
        <v>3</v>
      </c>
      <c r="K126" s="98"/>
      <c r="L126" s="100">
        <f t="shared" si="1"/>
        <v>4</v>
      </c>
      <c r="M126" s="92"/>
      <c r="N126" s="65"/>
      <c r="O126" s="65"/>
      <c r="P126" s="65"/>
      <c r="Q126" s="65"/>
    </row>
    <row r="127" spans="1:17" s="68" customFormat="1" ht="18.75" customHeight="1">
      <c r="A127" s="94">
        <v>104</v>
      </c>
      <c r="B127" s="95" t="s">
        <v>970</v>
      </c>
      <c r="C127" s="117" t="s">
        <v>448</v>
      </c>
      <c r="D127" s="118" t="s">
        <v>112</v>
      </c>
      <c r="E127" s="94" t="s">
        <v>813</v>
      </c>
      <c r="F127" s="101" t="s">
        <v>859</v>
      </c>
      <c r="G127" s="98">
        <v>6</v>
      </c>
      <c r="H127" s="99">
        <v>8</v>
      </c>
      <c r="I127" s="98">
        <v>5.5</v>
      </c>
      <c r="J127" s="98">
        <v>7</v>
      </c>
      <c r="K127" s="98"/>
      <c r="L127" s="100">
        <f t="shared" si="1"/>
        <v>6.7</v>
      </c>
      <c r="M127" s="92"/>
      <c r="N127" s="65"/>
      <c r="O127" s="65"/>
      <c r="P127" s="65"/>
      <c r="Q127" s="65"/>
    </row>
    <row r="128" spans="1:17" s="68" customFormat="1" ht="18.75" customHeight="1">
      <c r="A128" s="94">
        <v>105</v>
      </c>
      <c r="B128" s="95" t="s">
        <v>971</v>
      </c>
      <c r="C128" s="117" t="s">
        <v>335</v>
      </c>
      <c r="D128" s="118" t="s">
        <v>336</v>
      </c>
      <c r="E128" s="94" t="s">
        <v>815</v>
      </c>
      <c r="F128" s="101" t="s">
        <v>860</v>
      </c>
      <c r="G128" s="98">
        <v>6</v>
      </c>
      <c r="H128" s="99">
        <v>7</v>
      </c>
      <c r="I128" s="98">
        <v>5</v>
      </c>
      <c r="J128" s="98">
        <v>6</v>
      </c>
      <c r="K128" s="98"/>
      <c r="L128" s="100">
        <f t="shared" si="1"/>
        <v>5.9</v>
      </c>
      <c r="M128" s="92"/>
      <c r="N128" s="65"/>
      <c r="O128" s="65"/>
      <c r="P128" s="65"/>
      <c r="Q128" s="65"/>
    </row>
    <row r="129" spans="1:17" s="64" customFormat="1" ht="18.75" customHeight="1">
      <c r="A129" s="94">
        <v>106</v>
      </c>
      <c r="B129" s="95" t="s">
        <v>972</v>
      </c>
      <c r="C129" s="117" t="s">
        <v>329</v>
      </c>
      <c r="D129" s="118" t="s">
        <v>119</v>
      </c>
      <c r="E129" s="94" t="s">
        <v>805</v>
      </c>
      <c r="F129" s="101" t="s">
        <v>859</v>
      </c>
      <c r="G129" s="98">
        <v>7</v>
      </c>
      <c r="H129" s="99">
        <v>7</v>
      </c>
      <c r="I129" s="98">
        <v>7</v>
      </c>
      <c r="J129" s="98">
        <v>5</v>
      </c>
      <c r="K129" s="98"/>
      <c r="L129" s="100">
        <f t="shared" si="1"/>
        <v>5.8</v>
      </c>
      <c r="M129" s="92"/>
      <c r="N129" s="65"/>
      <c r="O129" s="65"/>
      <c r="P129" s="65"/>
      <c r="Q129" s="65"/>
    </row>
    <row r="130" spans="1:17" s="68" customFormat="1" ht="18.75" customHeight="1">
      <c r="A130" s="94">
        <v>107</v>
      </c>
      <c r="B130" s="95" t="s">
        <v>973</v>
      </c>
      <c r="C130" s="117" t="s">
        <v>441</v>
      </c>
      <c r="D130" s="118" t="s">
        <v>333</v>
      </c>
      <c r="E130" s="94" t="s">
        <v>812</v>
      </c>
      <c r="F130" s="101" t="s">
        <v>859</v>
      </c>
      <c r="G130" s="98">
        <v>7</v>
      </c>
      <c r="H130" s="99">
        <v>7</v>
      </c>
      <c r="I130" s="98">
        <v>7</v>
      </c>
      <c r="J130" s="98">
        <v>7</v>
      </c>
      <c r="K130" s="98"/>
      <c r="L130" s="100">
        <f t="shared" si="1"/>
        <v>7</v>
      </c>
      <c r="M130" s="92"/>
      <c r="N130" s="65"/>
      <c r="O130" s="65"/>
      <c r="P130" s="65"/>
      <c r="Q130" s="65"/>
    </row>
    <row r="131" spans="1:17" s="68" customFormat="1" ht="18.75" customHeight="1">
      <c r="A131" s="94">
        <v>108</v>
      </c>
      <c r="B131" s="95" t="s">
        <v>974</v>
      </c>
      <c r="C131" s="117" t="s">
        <v>41</v>
      </c>
      <c r="D131" s="118" t="s">
        <v>104</v>
      </c>
      <c r="E131" s="94" t="s">
        <v>809</v>
      </c>
      <c r="F131" s="101" t="s">
        <v>859</v>
      </c>
      <c r="G131" s="98">
        <v>8</v>
      </c>
      <c r="H131" s="99">
        <v>7</v>
      </c>
      <c r="I131" s="98">
        <v>8</v>
      </c>
      <c r="J131" s="98">
        <v>6</v>
      </c>
      <c r="K131" s="98"/>
      <c r="L131" s="100">
        <f t="shared" si="1"/>
        <v>6.7</v>
      </c>
      <c r="M131" s="92"/>
      <c r="N131" s="65"/>
      <c r="O131" s="65"/>
      <c r="P131" s="65"/>
      <c r="Q131" s="65"/>
    </row>
    <row r="132" spans="1:17" s="64" customFormat="1" ht="18.75" customHeight="1">
      <c r="A132" s="94">
        <v>109</v>
      </c>
      <c r="B132" s="95" t="s">
        <v>975</v>
      </c>
      <c r="C132" s="96" t="s">
        <v>73</v>
      </c>
      <c r="D132" s="97" t="s">
        <v>158</v>
      </c>
      <c r="E132" s="94" t="s">
        <v>523</v>
      </c>
      <c r="F132" s="101" t="s">
        <v>1323</v>
      </c>
      <c r="G132" s="98">
        <v>6</v>
      </c>
      <c r="H132" s="99">
        <v>8</v>
      </c>
      <c r="I132" s="98">
        <v>4</v>
      </c>
      <c r="J132" s="98">
        <v>4</v>
      </c>
      <c r="K132" s="98"/>
      <c r="L132" s="100">
        <f t="shared" si="1"/>
        <v>4.6</v>
      </c>
      <c r="M132" s="92"/>
      <c r="N132" s="65"/>
      <c r="O132" s="65"/>
      <c r="P132" s="65"/>
      <c r="Q132" s="65"/>
    </row>
    <row r="133" spans="1:13" s="65" customFormat="1" ht="18.75" customHeight="1">
      <c r="A133" s="112">
        <v>110</v>
      </c>
      <c r="B133" s="95" t="s">
        <v>976</v>
      </c>
      <c r="C133" s="96" t="s">
        <v>155</v>
      </c>
      <c r="D133" s="97" t="s">
        <v>48</v>
      </c>
      <c r="E133" s="112" t="s">
        <v>525</v>
      </c>
      <c r="F133" s="113" t="s">
        <v>1323</v>
      </c>
      <c r="G133" s="99">
        <v>7</v>
      </c>
      <c r="H133" s="99">
        <v>7</v>
      </c>
      <c r="I133" s="99">
        <v>6.5</v>
      </c>
      <c r="J133" s="99">
        <v>8</v>
      </c>
      <c r="K133" s="99"/>
      <c r="L133" s="100">
        <f t="shared" si="1"/>
        <v>7.5</v>
      </c>
      <c r="M133" s="92" t="s">
        <v>1341</v>
      </c>
    </row>
    <row r="134" spans="1:17" s="64" customFormat="1" ht="18.75" customHeight="1">
      <c r="A134" s="94">
        <v>111</v>
      </c>
      <c r="B134" s="95" t="s">
        <v>977</v>
      </c>
      <c r="C134" s="96" t="s">
        <v>87</v>
      </c>
      <c r="D134" s="97" t="s">
        <v>132</v>
      </c>
      <c r="E134" s="94" t="s">
        <v>527</v>
      </c>
      <c r="F134" s="101" t="s">
        <v>1323</v>
      </c>
      <c r="G134" s="98">
        <v>6</v>
      </c>
      <c r="H134" s="99">
        <v>8</v>
      </c>
      <c r="I134" s="98">
        <v>2.5</v>
      </c>
      <c r="J134" s="98">
        <v>7</v>
      </c>
      <c r="K134" s="98"/>
      <c r="L134" s="100">
        <f t="shared" si="1"/>
        <v>6.1</v>
      </c>
      <c r="M134" s="92"/>
      <c r="N134" s="65"/>
      <c r="O134" s="65"/>
      <c r="P134" s="65"/>
      <c r="Q134" s="65"/>
    </row>
    <row r="135" spans="1:17" s="64" customFormat="1" ht="18.75" customHeight="1">
      <c r="A135" s="94">
        <v>112</v>
      </c>
      <c r="B135" s="95" t="s">
        <v>978</v>
      </c>
      <c r="C135" s="96" t="s">
        <v>161</v>
      </c>
      <c r="D135" s="97" t="s">
        <v>162</v>
      </c>
      <c r="E135" s="94" t="s">
        <v>526</v>
      </c>
      <c r="F135" s="101" t="s">
        <v>1323</v>
      </c>
      <c r="G135" s="98">
        <v>6</v>
      </c>
      <c r="H135" s="99">
        <v>8</v>
      </c>
      <c r="I135" s="98">
        <v>5</v>
      </c>
      <c r="J135" s="98">
        <v>8</v>
      </c>
      <c r="K135" s="98"/>
      <c r="L135" s="100">
        <f t="shared" si="1"/>
        <v>7.2</v>
      </c>
      <c r="M135" s="92"/>
      <c r="N135" s="65"/>
      <c r="O135" s="65"/>
      <c r="P135" s="65"/>
      <c r="Q135" s="65"/>
    </row>
    <row r="136" spans="1:13" s="65" customFormat="1" ht="18.75" customHeight="1">
      <c r="A136" s="112">
        <v>113</v>
      </c>
      <c r="B136" s="95" t="s">
        <v>979</v>
      </c>
      <c r="C136" s="96" t="s">
        <v>159</v>
      </c>
      <c r="D136" s="97" t="s">
        <v>160</v>
      </c>
      <c r="E136" s="112" t="s">
        <v>524</v>
      </c>
      <c r="F136" s="113" t="s">
        <v>1323</v>
      </c>
      <c r="G136" s="99">
        <v>7</v>
      </c>
      <c r="H136" s="99">
        <v>8</v>
      </c>
      <c r="I136" s="99">
        <v>0</v>
      </c>
      <c r="J136" s="99">
        <v>8</v>
      </c>
      <c r="K136" s="99"/>
      <c r="L136" s="100">
        <f t="shared" si="1"/>
        <v>6.3</v>
      </c>
      <c r="M136" s="92" t="s">
        <v>1342</v>
      </c>
    </row>
    <row r="137" spans="1:17" s="64" customFormat="1" ht="18.75" customHeight="1">
      <c r="A137" s="94">
        <v>114</v>
      </c>
      <c r="B137" s="95" t="s">
        <v>980</v>
      </c>
      <c r="C137" s="117" t="s">
        <v>43</v>
      </c>
      <c r="D137" s="118" t="s">
        <v>226</v>
      </c>
      <c r="E137" s="94" t="s">
        <v>612</v>
      </c>
      <c r="F137" s="101" t="s">
        <v>853</v>
      </c>
      <c r="G137" s="98">
        <v>6</v>
      </c>
      <c r="H137" s="99">
        <v>7</v>
      </c>
      <c r="I137" s="98">
        <v>7</v>
      </c>
      <c r="J137" s="98">
        <v>9</v>
      </c>
      <c r="K137" s="98"/>
      <c r="L137" s="100">
        <f t="shared" si="1"/>
        <v>8.1</v>
      </c>
      <c r="M137" s="92"/>
      <c r="N137" s="65"/>
      <c r="O137" s="65"/>
      <c r="P137" s="65"/>
      <c r="Q137" s="65"/>
    </row>
    <row r="138" spans="1:17" s="64" customFormat="1" ht="18.75" customHeight="1">
      <c r="A138" s="94">
        <v>115</v>
      </c>
      <c r="B138" s="95" t="s">
        <v>981</v>
      </c>
      <c r="C138" s="117" t="s">
        <v>71</v>
      </c>
      <c r="D138" s="118" t="s">
        <v>225</v>
      </c>
      <c r="E138" s="94" t="s">
        <v>611</v>
      </c>
      <c r="F138" s="101" t="s">
        <v>853</v>
      </c>
      <c r="G138" s="98">
        <v>8</v>
      </c>
      <c r="H138" s="99">
        <v>8</v>
      </c>
      <c r="I138" s="98">
        <v>8</v>
      </c>
      <c r="J138" s="98">
        <v>7</v>
      </c>
      <c r="K138" s="98"/>
      <c r="L138" s="100">
        <f t="shared" si="1"/>
        <v>7.4</v>
      </c>
      <c r="M138" s="92"/>
      <c r="N138" s="65"/>
      <c r="O138" s="65"/>
      <c r="P138" s="65"/>
      <c r="Q138" s="65"/>
    </row>
    <row r="139" spans="1:17" s="64" customFormat="1" ht="18.75" customHeight="1">
      <c r="A139" s="94">
        <v>116</v>
      </c>
      <c r="B139" s="95" t="s">
        <v>982</v>
      </c>
      <c r="C139" s="117" t="s">
        <v>385</v>
      </c>
      <c r="D139" s="118" t="s">
        <v>386</v>
      </c>
      <c r="E139" s="94" t="s">
        <v>552</v>
      </c>
      <c r="F139" s="101" t="s">
        <v>1324</v>
      </c>
      <c r="G139" s="98">
        <v>6</v>
      </c>
      <c r="H139" s="99">
        <v>8</v>
      </c>
      <c r="I139" s="98">
        <v>6</v>
      </c>
      <c r="J139" s="98">
        <v>7</v>
      </c>
      <c r="K139" s="98"/>
      <c r="L139" s="100">
        <f t="shared" si="1"/>
        <v>6.8</v>
      </c>
      <c r="M139" s="92"/>
      <c r="N139" s="65"/>
      <c r="O139" s="65"/>
      <c r="P139" s="65"/>
      <c r="Q139" s="65"/>
    </row>
    <row r="140" spans="1:17" s="66" customFormat="1" ht="18.75" customHeight="1">
      <c r="A140" s="94">
        <v>117</v>
      </c>
      <c r="B140" s="105" t="s">
        <v>983</v>
      </c>
      <c r="C140" s="106" t="s">
        <v>186</v>
      </c>
      <c r="D140" s="107" t="s">
        <v>187</v>
      </c>
      <c r="E140" s="114" t="s">
        <v>549</v>
      </c>
      <c r="F140" s="116" t="s">
        <v>1324</v>
      </c>
      <c r="G140" s="115"/>
      <c r="H140" s="108"/>
      <c r="I140" s="115"/>
      <c r="J140" s="115"/>
      <c r="K140" s="115"/>
      <c r="L140" s="109">
        <f t="shared" si="1"/>
        <v>0</v>
      </c>
      <c r="M140" s="111" t="s">
        <v>1343</v>
      </c>
      <c r="N140" s="79"/>
      <c r="O140" s="79"/>
      <c r="P140" s="79"/>
      <c r="Q140" s="79"/>
    </row>
    <row r="141" spans="1:17" s="66" customFormat="1" ht="18.75" customHeight="1">
      <c r="A141" s="114">
        <v>118</v>
      </c>
      <c r="B141" s="105" t="s">
        <v>984</v>
      </c>
      <c r="C141" s="106" t="s">
        <v>41</v>
      </c>
      <c r="D141" s="107" t="s">
        <v>182</v>
      </c>
      <c r="E141" s="114" t="s">
        <v>546</v>
      </c>
      <c r="F141" s="116" t="s">
        <v>1324</v>
      </c>
      <c r="G141" s="115"/>
      <c r="H141" s="108"/>
      <c r="I141" s="115"/>
      <c r="J141" s="115"/>
      <c r="K141" s="115"/>
      <c r="L141" s="109">
        <f t="shared" si="1"/>
        <v>0</v>
      </c>
      <c r="M141" s="111" t="s">
        <v>1346</v>
      </c>
      <c r="N141" s="79"/>
      <c r="O141" s="79"/>
      <c r="P141" s="79"/>
      <c r="Q141" s="79"/>
    </row>
    <row r="142" spans="1:17" s="64" customFormat="1" ht="18.75" customHeight="1">
      <c r="A142" s="94">
        <v>119</v>
      </c>
      <c r="B142" s="95" t="s">
        <v>985</v>
      </c>
      <c r="C142" s="117" t="s">
        <v>190</v>
      </c>
      <c r="D142" s="118" t="s">
        <v>191</v>
      </c>
      <c r="E142" s="94" t="s">
        <v>555</v>
      </c>
      <c r="F142" s="101" t="s">
        <v>1324</v>
      </c>
      <c r="G142" s="98">
        <v>7</v>
      </c>
      <c r="H142" s="99">
        <v>7</v>
      </c>
      <c r="I142" s="98">
        <v>7</v>
      </c>
      <c r="J142" s="98">
        <v>5</v>
      </c>
      <c r="K142" s="98"/>
      <c r="L142" s="100">
        <f t="shared" si="1"/>
        <v>5.8</v>
      </c>
      <c r="M142" s="92"/>
      <c r="N142" s="65"/>
      <c r="O142" s="65"/>
      <c r="P142" s="65"/>
      <c r="Q142" s="65"/>
    </row>
    <row r="143" spans="1:17" s="66" customFormat="1" ht="18.75" customHeight="1">
      <c r="A143" s="114">
        <v>120</v>
      </c>
      <c r="B143" s="105" t="s">
        <v>986</v>
      </c>
      <c r="C143" s="106" t="s">
        <v>188</v>
      </c>
      <c r="D143" s="107" t="s">
        <v>62</v>
      </c>
      <c r="E143" s="114" t="s">
        <v>550</v>
      </c>
      <c r="F143" s="116" t="s">
        <v>1324</v>
      </c>
      <c r="G143" s="115"/>
      <c r="H143" s="108"/>
      <c r="I143" s="115"/>
      <c r="J143" s="115"/>
      <c r="K143" s="115"/>
      <c r="L143" s="109">
        <f t="shared" si="1"/>
        <v>0</v>
      </c>
      <c r="M143" s="111" t="s">
        <v>1343</v>
      </c>
      <c r="N143" s="79"/>
      <c r="O143" s="79"/>
      <c r="P143" s="79"/>
      <c r="Q143" s="79"/>
    </row>
    <row r="144" spans="1:17" s="64" customFormat="1" ht="18.75" customHeight="1">
      <c r="A144" s="94">
        <v>121</v>
      </c>
      <c r="B144" s="95" t="s">
        <v>987</v>
      </c>
      <c r="C144" s="117" t="s">
        <v>337</v>
      </c>
      <c r="D144" s="118" t="s">
        <v>192</v>
      </c>
      <c r="E144" s="94" t="s">
        <v>674</v>
      </c>
      <c r="F144" s="101" t="s">
        <v>1324</v>
      </c>
      <c r="G144" s="98">
        <v>6</v>
      </c>
      <c r="H144" s="99">
        <v>6</v>
      </c>
      <c r="I144" s="98">
        <v>4</v>
      </c>
      <c r="J144" s="98">
        <v>5</v>
      </c>
      <c r="K144" s="98"/>
      <c r="L144" s="100">
        <f t="shared" si="1"/>
        <v>5</v>
      </c>
      <c r="M144" s="92"/>
      <c r="N144" s="65"/>
      <c r="O144" s="65"/>
      <c r="P144" s="65"/>
      <c r="Q144" s="65"/>
    </row>
    <row r="145" spans="1:17" s="64" customFormat="1" ht="18.75" customHeight="1">
      <c r="A145" s="94">
        <v>122</v>
      </c>
      <c r="B145" s="95" t="s">
        <v>988</v>
      </c>
      <c r="C145" s="117" t="s">
        <v>41</v>
      </c>
      <c r="D145" s="118" t="s">
        <v>192</v>
      </c>
      <c r="E145" s="94" t="s">
        <v>557</v>
      </c>
      <c r="F145" s="101" t="s">
        <v>1324</v>
      </c>
      <c r="G145" s="98">
        <v>6</v>
      </c>
      <c r="H145" s="99">
        <v>7</v>
      </c>
      <c r="I145" s="98">
        <v>5</v>
      </c>
      <c r="J145" s="98">
        <v>5</v>
      </c>
      <c r="K145" s="98"/>
      <c r="L145" s="100">
        <f t="shared" si="1"/>
        <v>5.3</v>
      </c>
      <c r="M145" s="92"/>
      <c r="N145" s="65"/>
      <c r="O145" s="65"/>
      <c r="P145" s="65"/>
      <c r="Q145" s="65"/>
    </row>
    <row r="146" spans="1:13" s="65" customFormat="1" ht="18.75" customHeight="1">
      <c r="A146" s="112">
        <v>123</v>
      </c>
      <c r="B146" s="95" t="s">
        <v>989</v>
      </c>
      <c r="C146" s="96" t="s">
        <v>183</v>
      </c>
      <c r="D146" s="97" t="s">
        <v>184</v>
      </c>
      <c r="E146" s="112" t="s">
        <v>547</v>
      </c>
      <c r="F146" s="113" t="s">
        <v>1324</v>
      </c>
      <c r="G146" s="99">
        <v>6</v>
      </c>
      <c r="H146" s="99">
        <v>6</v>
      </c>
      <c r="I146" s="99">
        <v>5</v>
      </c>
      <c r="J146" s="99">
        <v>5</v>
      </c>
      <c r="K146" s="99"/>
      <c r="L146" s="100">
        <f t="shared" si="1"/>
        <v>5.2</v>
      </c>
      <c r="M146" s="92"/>
    </row>
    <row r="147" spans="1:17" s="64" customFormat="1" ht="18.75" customHeight="1">
      <c r="A147" s="94">
        <v>124</v>
      </c>
      <c r="B147" s="95" t="s">
        <v>990</v>
      </c>
      <c r="C147" s="117" t="s">
        <v>387</v>
      </c>
      <c r="D147" s="118" t="s">
        <v>146</v>
      </c>
      <c r="E147" s="94" t="s">
        <v>556</v>
      </c>
      <c r="F147" s="101" t="s">
        <v>1324</v>
      </c>
      <c r="G147" s="98">
        <v>6</v>
      </c>
      <c r="H147" s="99">
        <v>9</v>
      </c>
      <c r="I147" s="98">
        <v>5</v>
      </c>
      <c r="J147" s="98">
        <v>7</v>
      </c>
      <c r="K147" s="98"/>
      <c r="L147" s="100">
        <f t="shared" si="1"/>
        <v>6.7</v>
      </c>
      <c r="M147" s="92"/>
      <c r="N147" s="65"/>
      <c r="O147" s="65"/>
      <c r="P147" s="65"/>
      <c r="Q147" s="65"/>
    </row>
    <row r="148" spans="1:17" s="68" customFormat="1" ht="18.75" customHeight="1">
      <c r="A148" s="94">
        <v>125</v>
      </c>
      <c r="B148" s="95" t="s">
        <v>991</v>
      </c>
      <c r="C148" s="96" t="s">
        <v>185</v>
      </c>
      <c r="D148" s="97" t="s">
        <v>98</v>
      </c>
      <c r="E148" s="94" t="s">
        <v>548</v>
      </c>
      <c r="F148" s="101" t="s">
        <v>1324</v>
      </c>
      <c r="G148" s="98">
        <v>6</v>
      </c>
      <c r="H148" s="99">
        <v>7</v>
      </c>
      <c r="I148" s="98">
        <v>6</v>
      </c>
      <c r="J148" s="98">
        <v>7</v>
      </c>
      <c r="K148" s="98"/>
      <c r="L148" s="100">
        <f t="shared" si="1"/>
        <v>6.7</v>
      </c>
      <c r="M148" s="92"/>
      <c r="N148" s="65"/>
      <c r="O148" s="65"/>
      <c r="P148" s="65"/>
      <c r="Q148" s="65"/>
    </row>
    <row r="149" spans="1:17" s="67" customFormat="1" ht="18.75" customHeight="1">
      <c r="A149" s="114">
        <v>126</v>
      </c>
      <c r="B149" s="105" t="s">
        <v>992</v>
      </c>
      <c r="C149" s="119" t="s">
        <v>157</v>
      </c>
      <c r="D149" s="120" t="s">
        <v>168</v>
      </c>
      <c r="E149" s="114" t="s">
        <v>554</v>
      </c>
      <c r="F149" s="116" t="s">
        <v>1324</v>
      </c>
      <c r="G149" s="115"/>
      <c r="H149" s="108"/>
      <c r="I149" s="115"/>
      <c r="J149" s="115"/>
      <c r="K149" s="115"/>
      <c r="L149" s="109">
        <f t="shared" si="1"/>
        <v>0</v>
      </c>
      <c r="M149" s="111" t="s">
        <v>1345</v>
      </c>
      <c r="N149" s="79"/>
      <c r="O149" s="79"/>
      <c r="P149" s="79"/>
      <c r="Q149" s="79"/>
    </row>
    <row r="150" spans="1:17" s="64" customFormat="1" ht="18.75" customHeight="1">
      <c r="A150" s="94">
        <v>127</v>
      </c>
      <c r="B150" s="95" t="s">
        <v>993</v>
      </c>
      <c r="C150" s="96" t="s">
        <v>181</v>
      </c>
      <c r="D150" s="97" t="s">
        <v>153</v>
      </c>
      <c r="E150" s="94" t="s">
        <v>545</v>
      </c>
      <c r="F150" s="101" t="s">
        <v>1324</v>
      </c>
      <c r="G150" s="98">
        <v>6</v>
      </c>
      <c r="H150" s="99"/>
      <c r="I150" s="98">
        <v>5</v>
      </c>
      <c r="J150" s="98"/>
      <c r="K150" s="98"/>
      <c r="L150" s="100">
        <f aca="true" t="shared" si="2" ref="L150:L213">ROUND(G150*$C$11+H150*$C$12+I150*$C$13+J150*$C$14+K150*$C$15,1)</f>
        <v>1.6</v>
      </c>
      <c r="M150" s="92" t="s">
        <v>1351</v>
      </c>
      <c r="N150" s="65"/>
      <c r="O150" s="65"/>
      <c r="P150" s="65"/>
      <c r="Q150" s="65"/>
    </row>
    <row r="151" spans="1:17" s="64" customFormat="1" ht="18.75" customHeight="1">
      <c r="A151" s="94">
        <v>128</v>
      </c>
      <c r="B151" s="95" t="s">
        <v>994</v>
      </c>
      <c r="C151" s="117" t="s">
        <v>122</v>
      </c>
      <c r="D151" s="118" t="s">
        <v>189</v>
      </c>
      <c r="E151" s="94" t="s">
        <v>553</v>
      </c>
      <c r="F151" s="101" t="s">
        <v>1324</v>
      </c>
      <c r="G151" s="98">
        <v>6</v>
      </c>
      <c r="H151" s="99">
        <v>6</v>
      </c>
      <c r="I151" s="98">
        <v>5</v>
      </c>
      <c r="J151" s="98">
        <v>8</v>
      </c>
      <c r="K151" s="98"/>
      <c r="L151" s="100">
        <f t="shared" si="2"/>
        <v>7</v>
      </c>
      <c r="M151" s="92"/>
      <c r="N151" s="65"/>
      <c r="O151" s="65"/>
      <c r="P151" s="65"/>
      <c r="Q151" s="65"/>
    </row>
    <row r="152" spans="1:17" s="66" customFormat="1" ht="18.75" customHeight="1">
      <c r="A152" s="114">
        <v>129</v>
      </c>
      <c r="B152" s="105" t="s">
        <v>995</v>
      </c>
      <c r="C152" s="119" t="s">
        <v>69</v>
      </c>
      <c r="D152" s="120" t="s">
        <v>104</v>
      </c>
      <c r="E152" s="114" t="s">
        <v>551</v>
      </c>
      <c r="F152" s="116" t="s">
        <v>1324</v>
      </c>
      <c r="G152" s="115"/>
      <c r="H152" s="108"/>
      <c r="I152" s="115"/>
      <c r="J152" s="115"/>
      <c r="K152" s="115"/>
      <c r="L152" s="109">
        <f t="shared" si="2"/>
        <v>0</v>
      </c>
      <c r="M152" s="111" t="s">
        <v>1343</v>
      </c>
      <c r="N152" s="79"/>
      <c r="O152" s="79"/>
      <c r="P152" s="79"/>
      <c r="Q152" s="79"/>
    </row>
    <row r="153" spans="1:13" s="65" customFormat="1" ht="18.75" customHeight="1">
      <c r="A153" s="112">
        <v>130</v>
      </c>
      <c r="B153" s="95" t="s">
        <v>996</v>
      </c>
      <c r="C153" s="122" t="s">
        <v>219</v>
      </c>
      <c r="D153" s="123" t="s">
        <v>48</v>
      </c>
      <c r="E153" s="112" t="s">
        <v>701</v>
      </c>
      <c r="F153" s="113" t="s">
        <v>856</v>
      </c>
      <c r="G153" s="99">
        <v>6</v>
      </c>
      <c r="H153" s="99">
        <v>8</v>
      </c>
      <c r="I153" s="99">
        <v>5</v>
      </c>
      <c r="J153" s="99">
        <v>7</v>
      </c>
      <c r="K153" s="99"/>
      <c r="L153" s="100">
        <f t="shared" si="2"/>
        <v>6.6</v>
      </c>
      <c r="M153" s="92"/>
    </row>
    <row r="154" spans="1:17" s="66" customFormat="1" ht="18.75" customHeight="1">
      <c r="A154" s="114">
        <v>131</v>
      </c>
      <c r="B154" s="105" t="s">
        <v>997</v>
      </c>
      <c r="C154" s="119" t="s">
        <v>204</v>
      </c>
      <c r="D154" s="120" t="s">
        <v>37</v>
      </c>
      <c r="E154" s="114" t="s">
        <v>570</v>
      </c>
      <c r="F154" s="116" t="s">
        <v>1325</v>
      </c>
      <c r="G154" s="115"/>
      <c r="H154" s="108"/>
      <c r="I154" s="115"/>
      <c r="J154" s="115"/>
      <c r="K154" s="115"/>
      <c r="L154" s="109">
        <f t="shared" si="2"/>
        <v>0</v>
      </c>
      <c r="M154" s="111" t="s">
        <v>1342</v>
      </c>
      <c r="N154" s="79"/>
      <c r="O154" s="79"/>
      <c r="P154" s="79"/>
      <c r="Q154" s="79"/>
    </row>
    <row r="155" spans="1:17" s="64" customFormat="1" ht="18.75" customHeight="1">
      <c r="A155" s="94">
        <v>132</v>
      </c>
      <c r="B155" s="95" t="s">
        <v>998</v>
      </c>
      <c r="C155" s="117" t="s">
        <v>389</v>
      </c>
      <c r="D155" s="118" t="s">
        <v>37</v>
      </c>
      <c r="E155" s="94" t="s">
        <v>569</v>
      </c>
      <c r="F155" s="101" t="s">
        <v>1325</v>
      </c>
      <c r="G155" s="98">
        <v>7</v>
      </c>
      <c r="H155" s="99">
        <v>7</v>
      </c>
      <c r="I155" s="98">
        <v>7</v>
      </c>
      <c r="J155" s="98">
        <v>8</v>
      </c>
      <c r="K155" s="98"/>
      <c r="L155" s="100">
        <f t="shared" si="2"/>
        <v>7.6</v>
      </c>
      <c r="M155" s="92"/>
      <c r="N155" s="65"/>
      <c r="O155" s="65"/>
      <c r="P155" s="65"/>
      <c r="Q155" s="65"/>
    </row>
    <row r="156" spans="1:17" s="64" customFormat="1" ht="18.75" customHeight="1">
      <c r="A156" s="94">
        <v>133</v>
      </c>
      <c r="B156" s="95" t="s">
        <v>999</v>
      </c>
      <c r="C156" s="117" t="s">
        <v>38</v>
      </c>
      <c r="D156" s="118" t="s">
        <v>194</v>
      </c>
      <c r="E156" s="94" t="s">
        <v>559</v>
      </c>
      <c r="F156" s="101" t="s">
        <v>1325</v>
      </c>
      <c r="G156" s="98">
        <v>7</v>
      </c>
      <c r="H156" s="99">
        <v>9</v>
      </c>
      <c r="I156" s="98">
        <v>6</v>
      </c>
      <c r="J156" s="98">
        <v>8</v>
      </c>
      <c r="K156" s="98"/>
      <c r="L156" s="100">
        <f t="shared" si="2"/>
        <v>7.6</v>
      </c>
      <c r="M156" s="92"/>
      <c r="N156" s="65"/>
      <c r="O156" s="65"/>
      <c r="P156" s="65"/>
      <c r="Q156" s="65"/>
    </row>
    <row r="157" spans="1:17" s="64" customFormat="1" ht="18.75" customHeight="1">
      <c r="A157" s="94">
        <v>134</v>
      </c>
      <c r="B157" s="95" t="s">
        <v>1000</v>
      </c>
      <c r="C157" s="117" t="s">
        <v>198</v>
      </c>
      <c r="D157" s="118" t="s">
        <v>199</v>
      </c>
      <c r="E157" s="94" t="s">
        <v>564</v>
      </c>
      <c r="F157" s="101" t="s">
        <v>1325</v>
      </c>
      <c r="G157" s="98">
        <v>6</v>
      </c>
      <c r="H157" s="99">
        <v>8</v>
      </c>
      <c r="I157" s="98">
        <v>4</v>
      </c>
      <c r="J157" s="98">
        <v>8</v>
      </c>
      <c r="K157" s="98"/>
      <c r="L157" s="100">
        <f t="shared" si="2"/>
        <v>7</v>
      </c>
      <c r="M157" s="92"/>
      <c r="N157" s="65"/>
      <c r="O157" s="65"/>
      <c r="P157" s="65"/>
      <c r="Q157" s="65"/>
    </row>
    <row r="158" spans="1:17" s="64" customFormat="1" ht="18.75" customHeight="1">
      <c r="A158" s="94">
        <v>135</v>
      </c>
      <c r="B158" s="95" t="s">
        <v>1001</v>
      </c>
      <c r="C158" s="117" t="s">
        <v>205</v>
      </c>
      <c r="D158" s="118" t="s">
        <v>158</v>
      </c>
      <c r="E158" s="94" t="s">
        <v>573</v>
      </c>
      <c r="F158" s="101" t="s">
        <v>1325</v>
      </c>
      <c r="G158" s="98">
        <v>8</v>
      </c>
      <c r="H158" s="99">
        <v>7</v>
      </c>
      <c r="I158" s="98">
        <v>7.5</v>
      </c>
      <c r="J158" s="98">
        <v>7</v>
      </c>
      <c r="K158" s="98"/>
      <c r="L158" s="100">
        <f t="shared" si="2"/>
        <v>7.2</v>
      </c>
      <c r="M158" s="92"/>
      <c r="N158" s="65"/>
      <c r="O158" s="65"/>
      <c r="P158" s="65"/>
      <c r="Q158" s="65"/>
    </row>
    <row r="159" spans="1:17" s="64" customFormat="1" ht="18.75" customHeight="1">
      <c r="A159" s="94">
        <v>136</v>
      </c>
      <c r="B159" s="95" t="s">
        <v>1002</v>
      </c>
      <c r="C159" s="117" t="s">
        <v>75</v>
      </c>
      <c r="D159" s="118" t="s">
        <v>158</v>
      </c>
      <c r="E159" s="94" t="s">
        <v>572</v>
      </c>
      <c r="F159" s="101" t="s">
        <v>1325</v>
      </c>
      <c r="G159" s="98">
        <v>6</v>
      </c>
      <c r="H159" s="99">
        <v>7</v>
      </c>
      <c r="I159" s="98">
        <v>6</v>
      </c>
      <c r="J159" s="98">
        <v>6</v>
      </c>
      <c r="K159" s="98"/>
      <c r="L159" s="100">
        <f t="shared" si="2"/>
        <v>6.1</v>
      </c>
      <c r="M159" s="92"/>
      <c r="N159" s="65"/>
      <c r="O159" s="65"/>
      <c r="P159" s="65"/>
      <c r="Q159" s="65"/>
    </row>
    <row r="160" spans="1:13" s="65" customFormat="1" ht="18.75" customHeight="1">
      <c r="A160" s="112">
        <v>137</v>
      </c>
      <c r="B160" s="95" t="s">
        <v>1003</v>
      </c>
      <c r="C160" s="122" t="s">
        <v>69</v>
      </c>
      <c r="D160" s="123" t="s">
        <v>158</v>
      </c>
      <c r="E160" s="112" t="s">
        <v>571</v>
      </c>
      <c r="F160" s="113" t="s">
        <v>1325</v>
      </c>
      <c r="G160" s="99">
        <v>6</v>
      </c>
      <c r="H160" s="99">
        <v>7</v>
      </c>
      <c r="I160" s="99">
        <v>5</v>
      </c>
      <c r="J160" s="99">
        <v>7</v>
      </c>
      <c r="K160" s="99"/>
      <c r="L160" s="100">
        <f t="shared" si="2"/>
        <v>6.5</v>
      </c>
      <c r="M160" s="92"/>
    </row>
    <row r="161" spans="1:17" s="64" customFormat="1" ht="18.75" customHeight="1">
      <c r="A161" s="94">
        <v>138</v>
      </c>
      <c r="B161" s="95" t="s">
        <v>1004</v>
      </c>
      <c r="C161" s="117" t="s">
        <v>206</v>
      </c>
      <c r="D161" s="118" t="s">
        <v>158</v>
      </c>
      <c r="E161" s="94" t="s">
        <v>574</v>
      </c>
      <c r="F161" s="101" t="s">
        <v>1325</v>
      </c>
      <c r="G161" s="98">
        <v>7</v>
      </c>
      <c r="H161" s="99">
        <v>7</v>
      </c>
      <c r="I161" s="98">
        <v>6.5</v>
      </c>
      <c r="J161" s="98">
        <v>9</v>
      </c>
      <c r="K161" s="98"/>
      <c r="L161" s="100">
        <f t="shared" si="2"/>
        <v>8.1</v>
      </c>
      <c r="M161" s="92"/>
      <c r="N161" s="65"/>
      <c r="O161" s="65"/>
      <c r="P161" s="65"/>
      <c r="Q161" s="65"/>
    </row>
    <row r="162" spans="1:13" s="65" customFormat="1" ht="18.75" customHeight="1">
      <c r="A162" s="112">
        <v>139</v>
      </c>
      <c r="B162" s="95" t="s">
        <v>1005</v>
      </c>
      <c r="C162" s="122" t="s">
        <v>323</v>
      </c>
      <c r="D162" s="123" t="s">
        <v>78</v>
      </c>
      <c r="E162" s="112" t="s">
        <v>788</v>
      </c>
      <c r="F162" s="113" t="s">
        <v>1325</v>
      </c>
      <c r="G162" s="99">
        <v>7</v>
      </c>
      <c r="H162" s="99">
        <v>7</v>
      </c>
      <c r="I162" s="99">
        <v>0</v>
      </c>
      <c r="J162" s="99">
        <v>6</v>
      </c>
      <c r="K162" s="99"/>
      <c r="L162" s="100">
        <f t="shared" si="2"/>
        <v>5</v>
      </c>
      <c r="M162" s="92" t="s">
        <v>1352</v>
      </c>
    </row>
    <row r="163" spans="1:17" s="64" customFormat="1" ht="18.75" customHeight="1">
      <c r="A163" s="94">
        <v>140</v>
      </c>
      <c r="B163" s="95" t="s">
        <v>1006</v>
      </c>
      <c r="C163" s="117" t="s">
        <v>294</v>
      </c>
      <c r="D163" s="118" t="s">
        <v>44</v>
      </c>
      <c r="E163" s="94" t="s">
        <v>735</v>
      </c>
      <c r="F163" s="101" t="s">
        <v>1325</v>
      </c>
      <c r="G163" s="98">
        <v>7</v>
      </c>
      <c r="H163" s="99">
        <v>7</v>
      </c>
      <c r="I163" s="98">
        <v>7</v>
      </c>
      <c r="J163" s="98">
        <v>6</v>
      </c>
      <c r="K163" s="98"/>
      <c r="L163" s="100">
        <f t="shared" si="2"/>
        <v>6.4</v>
      </c>
      <c r="M163" s="92"/>
      <c r="N163" s="65"/>
      <c r="O163" s="65"/>
      <c r="P163" s="65"/>
      <c r="Q163" s="65"/>
    </row>
    <row r="164" spans="1:17" s="64" customFormat="1" ht="18.75" customHeight="1">
      <c r="A164" s="94">
        <v>141</v>
      </c>
      <c r="B164" s="95" t="s">
        <v>1007</v>
      </c>
      <c r="C164" s="117" t="s">
        <v>195</v>
      </c>
      <c r="D164" s="118" t="s">
        <v>48</v>
      </c>
      <c r="E164" s="94" t="s">
        <v>560</v>
      </c>
      <c r="F164" s="101" t="s">
        <v>1325</v>
      </c>
      <c r="G164" s="98">
        <v>7</v>
      </c>
      <c r="H164" s="99">
        <v>7</v>
      </c>
      <c r="I164" s="98">
        <v>7</v>
      </c>
      <c r="J164" s="98">
        <v>6</v>
      </c>
      <c r="K164" s="98"/>
      <c r="L164" s="100">
        <f t="shared" si="2"/>
        <v>6.4</v>
      </c>
      <c r="M164" s="92"/>
      <c r="N164" s="65"/>
      <c r="O164" s="65"/>
      <c r="P164" s="65"/>
      <c r="Q164" s="65"/>
    </row>
    <row r="165" spans="1:13" s="65" customFormat="1" ht="18.75" customHeight="1">
      <c r="A165" s="112">
        <v>142</v>
      </c>
      <c r="B165" s="95" t="s">
        <v>1008</v>
      </c>
      <c r="C165" s="122" t="s">
        <v>41</v>
      </c>
      <c r="D165" s="123" t="s">
        <v>49</v>
      </c>
      <c r="E165" s="112" t="s">
        <v>561</v>
      </c>
      <c r="F165" s="113" t="s">
        <v>1325</v>
      </c>
      <c r="G165" s="99">
        <v>6</v>
      </c>
      <c r="H165" s="99">
        <v>6</v>
      </c>
      <c r="I165" s="99">
        <v>6</v>
      </c>
      <c r="J165" s="99">
        <v>7</v>
      </c>
      <c r="K165" s="99"/>
      <c r="L165" s="100">
        <f t="shared" si="2"/>
        <v>6.6</v>
      </c>
      <c r="M165" s="92"/>
    </row>
    <row r="166" spans="1:17" s="64" customFormat="1" ht="18.75" customHeight="1">
      <c r="A166" s="94">
        <v>143</v>
      </c>
      <c r="B166" s="95" t="s">
        <v>1009</v>
      </c>
      <c r="C166" s="117" t="s">
        <v>128</v>
      </c>
      <c r="D166" s="118" t="s">
        <v>124</v>
      </c>
      <c r="E166" s="94" t="s">
        <v>575</v>
      </c>
      <c r="F166" s="101" t="s">
        <v>1325</v>
      </c>
      <c r="G166" s="98">
        <v>8</v>
      </c>
      <c r="H166" s="99">
        <v>7</v>
      </c>
      <c r="I166" s="98">
        <v>8</v>
      </c>
      <c r="J166" s="98">
        <v>9</v>
      </c>
      <c r="K166" s="98"/>
      <c r="L166" s="100">
        <f t="shared" si="2"/>
        <v>8.5</v>
      </c>
      <c r="M166" s="92"/>
      <c r="N166" s="65"/>
      <c r="O166" s="65"/>
      <c r="P166" s="65"/>
      <c r="Q166" s="65"/>
    </row>
    <row r="167" spans="1:17" s="66" customFormat="1" ht="18.75" customHeight="1">
      <c r="A167" s="114">
        <v>144</v>
      </c>
      <c r="B167" s="105" t="s">
        <v>1010</v>
      </c>
      <c r="C167" s="119" t="s">
        <v>41</v>
      </c>
      <c r="D167" s="120" t="s">
        <v>202</v>
      </c>
      <c r="E167" s="114" t="s">
        <v>567</v>
      </c>
      <c r="F167" s="116" t="s">
        <v>1325</v>
      </c>
      <c r="G167" s="115"/>
      <c r="H167" s="108"/>
      <c r="I167" s="115"/>
      <c r="J167" s="115"/>
      <c r="K167" s="115"/>
      <c r="L167" s="109">
        <f t="shared" si="2"/>
        <v>0</v>
      </c>
      <c r="M167" s="111" t="s">
        <v>1345</v>
      </c>
      <c r="N167" s="79"/>
      <c r="O167" s="79"/>
      <c r="P167" s="79"/>
      <c r="Q167" s="79"/>
    </row>
    <row r="168" spans="1:17" s="64" customFormat="1" ht="18.75" customHeight="1">
      <c r="A168" s="94">
        <v>145</v>
      </c>
      <c r="B168" s="95" t="s">
        <v>1011</v>
      </c>
      <c r="C168" s="117" t="s">
        <v>208</v>
      </c>
      <c r="D168" s="118" t="s">
        <v>57</v>
      </c>
      <c r="E168" s="94" t="s">
        <v>581</v>
      </c>
      <c r="F168" s="101" t="s">
        <v>1325</v>
      </c>
      <c r="G168" s="98">
        <v>7</v>
      </c>
      <c r="H168" s="99">
        <v>9</v>
      </c>
      <c r="I168" s="98">
        <v>6.5</v>
      </c>
      <c r="J168" s="98">
        <v>7</v>
      </c>
      <c r="K168" s="98"/>
      <c r="L168" s="100">
        <f t="shared" si="2"/>
        <v>7.1</v>
      </c>
      <c r="M168" s="92"/>
      <c r="N168" s="65"/>
      <c r="O168" s="65"/>
      <c r="P168" s="65"/>
      <c r="Q168" s="65"/>
    </row>
    <row r="169" spans="1:17" s="64" customFormat="1" ht="18.75" customHeight="1">
      <c r="A169" s="94">
        <v>146</v>
      </c>
      <c r="B169" s="95" t="s">
        <v>1012</v>
      </c>
      <c r="C169" s="117" t="s">
        <v>201</v>
      </c>
      <c r="D169" s="118" t="s">
        <v>89</v>
      </c>
      <c r="E169" s="94" t="s">
        <v>566</v>
      </c>
      <c r="F169" s="101" t="s">
        <v>1325</v>
      </c>
      <c r="G169" s="98">
        <v>8</v>
      </c>
      <c r="H169" s="99">
        <v>0</v>
      </c>
      <c r="I169" s="98">
        <v>7.5</v>
      </c>
      <c r="J169" s="98">
        <v>0</v>
      </c>
      <c r="K169" s="98"/>
      <c r="L169" s="100">
        <f t="shared" si="2"/>
        <v>2.3</v>
      </c>
      <c r="M169" s="92" t="s">
        <v>1353</v>
      </c>
      <c r="N169" s="65"/>
      <c r="O169" s="65"/>
      <c r="P169" s="65"/>
      <c r="Q169" s="65"/>
    </row>
    <row r="170" spans="1:17" s="64" customFormat="1" ht="18.75" customHeight="1">
      <c r="A170" s="94">
        <v>147</v>
      </c>
      <c r="B170" s="95" t="s">
        <v>1013</v>
      </c>
      <c r="C170" s="117" t="s">
        <v>196</v>
      </c>
      <c r="D170" s="118" t="s">
        <v>388</v>
      </c>
      <c r="E170" s="94" t="s">
        <v>562</v>
      </c>
      <c r="F170" s="101" t="s">
        <v>1325</v>
      </c>
      <c r="G170" s="98">
        <v>7</v>
      </c>
      <c r="H170" s="99">
        <v>8</v>
      </c>
      <c r="I170" s="98">
        <v>7</v>
      </c>
      <c r="J170" s="98">
        <v>6</v>
      </c>
      <c r="K170" s="98"/>
      <c r="L170" s="100">
        <f t="shared" si="2"/>
        <v>6.5</v>
      </c>
      <c r="M170" s="92"/>
      <c r="N170" s="65"/>
      <c r="O170" s="65"/>
      <c r="P170" s="65"/>
      <c r="Q170" s="65"/>
    </row>
    <row r="171" spans="1:17" s="64" customFormat="1" ht="18.75" customHeight="1">
      <c r="A171" s="94">
        <v>148</v>
      </c>
      <c r="B171" s="95" t="s">
        <v>1014</v>
      </c>
      <c r="C171" s="117" t="s">
        <v>390</v>
      </c>
      <c r="D171" s="118" t="s">
        <v>59</v>
      </c>
      <c r="E171" s="94" t="s">
        <v>576</v>
      </c>
      <c r="F171" s="101" t="s">
        <v>1325</v>
      </c>
      <c r="G171" s="98">
        <v>8</v>
      </c>
      <c r="H171" s="99">
        <v>6</v>
      </c>
      <c r="I171" s="98">
        <v>8</v>
      </c>
      <c r="J171" s="98">
        <v>6</v>
      </c>
      <c r="K171" s="98"/>
      <c r="L171" s="100">
        <f t="shared" si="2"/>
        <v>6.6</v>
      </c>
      <c r="M171" s="92"/>
      <c r="N171" s="65"/>
      <c r="O171" s="65"/>
      <c r="P171" s="65"/>
      <c r="Q171" s="65"/>
    </row>
    <row r="172" spans="1:17" s="64" customFormat="1" ht="18.75" customHeight="1">
      <c r="A172" s="94">
        <v>149</v>
      </c>
      <c r="B172" s="95" t="s">
        <v>1015</v>
      </c>
      <c r="C172" s="117" t="s">
        <v>200</v>
      </c>
      <c r="D172" s="118" t="s">
        <v>62</v>
      </c>
      <c r="E172" s="94" t="s">
        <v>565</v>
      </c>
      <c r="F172" s="101" t="s">
        <v>1325</v>
      </c>
      <c r="G172" s="98">
        <v>6</v>
      </c>
      <c r="H172" s="99">
        <v>6</v>
      </c>
      <c r="I172" s="98">
        <v>3.5</v>
      </c>
      <c r="J172" s="98">
        <v>8</v>
      </c>
      <c r="K172" s="98"/>
      <c r="L172" s="100">
        <f t="shared" si="2"/>
        <v>6.7</v>
      </c>
      <c r="M172" s="92"/>
      <c r="N172" s="65"/>
      <c r="O172" s="65"/>
      <c r="P172" s="65"/>
      <c r="Q172" s="65"/>
    </row>
    <row r="173" spans="1:17" s="64" customFormat="1" ht="18.75" customHeight="1">
      <c r="A173" s="94">
        <v>150</v>
      </c>
      <c r="B173" s="95" t="s">
        <v>1016</v>
      </c>
      <c r="C173" s="117" t="s">
        <v>207</v>
      </c>
      <c r="D173" s="118" t="s">
        <v>110</v>
      </c>
      <c r="E173" s="94" t="s">
        <v>577</v>
      </c>
      <c r="F173" s="101" t="s">
        <v>1325</v>
      </c>
      <c r="G173" s="98">
        <v>8</v>
      </c>
      <c r="H173" s="99">
        <v>9</v>
      </c>
      <c r="I173" s="98">
        <v>6.5</v>
      </c>
      <c r="J173" s="98">
        <v>7</v>
      </c>
      <c r="K173" s="98"/>
      <c r="L173" s="100">
        <f t="shared" si="2"/>
        <v>7.2</v>
      </c>
      <c r="M173" s="92"/>
      <c r="N173" s="65"/>
      <c r="O173" s="65"/>
      <c r="P173" s="65"/>
      <c r="Q173" s="65"/>
    </row>
    <row r="174" spans="1:17" s="66" customFormat="1" ht="18.75" customHeight="1">
      <c r="A174" s="114">
        <v>151</v>
      </c>
      <c r="B174" s="105" t="s">
        <v>1017</v>
      </c>
      <c r="C174" s="119" t="s">
        <v>203</v>
      </c>
      <c r="D174" s="120" t="s">
        <v>64</v>
      </c>
      <c r="E174" s="114" t="s">
        <v>568</v>
      </c>
      <c r="F174" s="116" t="s">
        <v>1325</v>
      </c>
      <c r="G174" s="115"/>
      <c r="H174" s="108"/>
      <c r="I174" s="115"/>
      <c r="J174" s="115"/>
      <c r="K174" s="115"/>
      <c r="L174" s="109">
        <f t="shared" si="2"/>
        <v>0</v>
      </c>
      <c r="M174" s="111" t="s">
        <v>1345</v>
      </c>
      <c r="N174" s="79"/>
      <c r="O174" s="79"/>
      <c r="P174" s="79"/>
      <c r="Q174" s="79"/>
    </row>
    <row r="175" spans="1:17" s="64" customFormat="1" ht="18.75" customHeight="1">
      <c r="A175" s="94">
        <v>152</v>
      </c>
      <c r="B175" s="95" t="s">
        <v>1018</v>
      </c>
      <c r="C175" s="117" t="s">
        <v>391</v>
      </c>
      <c r="D175" s="118" t="s">
        <v>65</v>
      </c>
      <c r="E175" s="94" t="s">
        <v>578</v>
      </c>
      <c r="F175" s="101" t="s">
        <v>1325</v>
      </c>
      <c r="G175" s="98">
        <v>7</v>
      </c>
      <c r="H175" s="99">
        <v>8</v>
      </c>
      <c r="I175" s="98">
        <v>7</v>
      </c>
      <c r="J175" s="98">
        <v>6</v>
      </c>
      <c r="K175" s="98"/>
      <c r="L175" s="100">
        <f t="shared" si="2"/>
        <v>6.5</v>
      </c>
      <c r="M175" s="92"/>
      <c r="N175" s="65"/>
      <c r="O175" s="65"/>
      <c r="P175" s="65"/>
      <c r="Q175" s="65"/>
    </row>
    <row r="176" spans="1:17" s="64" customFormat="1" ht="18.75" customHeight="1">
      <c r="A176" s="94">
        <v>153</v>
      </c>
      <c r="B176" s="95" t="s">
        <v>1019</v>
      </c>
      <c r="C176" s="117" t="s">
        <v>392</v>
      </c>
      <c r="D176" s="118" t="s">
        <v>146</v>
      </c>
      <c r="E176" s="94" t="s">
        <v>579</v>
      </c>
      <c r="F176" s="101" t="s">
        <v>1325</v>
      </c>
      <c r="G176" s="98">
        <v>7</v>
      </c>
      <c r="H176" s="99">
        <v>7</v>
      </c>
      <c r="I176" s="98">
        <v>7</v>
      </c>
      <c r="J176" s="98">
        <v>7</v>
      </c>
      <c r="K176" s="98"/>
      <c r="L176" s="100">
        <f t="shared" si="2"/>
        <v>7</v>
      </c>
      <c r="M176" s="92"/>
      <c r="N176" s="65"/>
      <c r="O176" s="65"/>
      <c r="P176" s="65"/>
      <c r="Q176" s="65"/>
    </row>
    <row r="177" spans="1:17" s="64" customFormat="1" ht="18.75" customHeight="1">
      <c r="A177" s="94">
        <v>154</v>
      </c>
      <c r="B177" s="95" t="s">
        <v>1020</v>
      </c>
      <c r="C177" s="117" t="s">
        <v>197</v>
      </c>
      <c r="D177" s="118" t="s">
        <v>112</v>
      </c>
      <c r="E177" s="94" t="s">
        <v>563</v>
      </c>
      <c r="F177" s="101" t="s">
        <v>1325</v>
      </c>
      <c r="G177" s="98">
        <v>7</v>
      </c>
      <c r="H177" s="99">
        <v>7</v>
      </c>
      <c r="I177" s="98">
        <v>6.5</v>
      </c>
      <c r="J177" s="98">
        <v>7</v>
      </c>
      <c r="K177" s="98"/>
      <c r="L177" s="100">
        <f t="shared" si="2"/>
        <v>6.9</v>
      </c>
      <c r="M177" s="92"/>
      <c r="N177" s="65"/>
      <c r="O177" s="65"/>
      <c r="P177" s="65"/>
      <c r="Q177" s="65"/>
    </row>
    <row r="178" spans="1:17" s="64" customFormat="1" ht="18.75" customHeight="1">
      <c r="A178" s="94">
        <v>155</v>
      </c>
      <c r="B178" s="95" t="s">
        <v>1021</v>
      </c>
      <c r="C178" s="117" t="s">
        <v>41</v>
      </c>
      <c r="D178" s="118" t="s">
        <v>66</v>
      </c>
      <c r="E178" s="94" t="s">
        <v>580</v>
      </c>
      <c r="F178" s="101" t="s">
        <v>1325</v>
      </c>
      <c r="G178" s="98">
        <v>7</v>
      </c>
      <c r="H178" s="99">
        <v>8</v>
      </c>
      <c r="I178" s="98">
        <v>6.5</v>
      </c>
      <c r="J178" s="98">
        <v>7</v>
      </c>
      <c r="K178" s="98"/>
      <c r="L178" s="100">
        <f t="shared" si="2"/>
        <v>7</v>
      </c>
      <c r="M178" s="92"/>
      <c r="N178" s="65"/>
      <c r="O178" s="65"/>
      <c r="P178" s="65"/>
      <c r="Q178" s="65"/>
    </row>
    <row r="179" spans="1:17" s="64" customFormat="1" ht="18.75" customHeight="1">
      <c r="A179" s="94">
        <v>156</v>
      </c>
      <c r="B179" s="95" t="s">
        <v>1022</v>
      </c>
      <c r="C179" s="117" t="s">
        <v>41</v>
      </c>
      <c r="D179" s="118" t="s">
        <v>72</v>
      </c>
      <c r="E179" s="94" t="s">
        <v>582</v>
      </c>
      <c r="F179" s="101" t="s">
        <v>1325</v>
      </c>
      <c r="G179" s="98">
        <v>7</v>
      </c>
      <c r="H179" s="99">
        <v>6</v>
      </c>
      <c r="I179" s="98">
        <v>7</v>
      </c>
      <c r="J179" s="98">
        <v>7</v>
      </c>
      <c r="K179" s="98"/>
      <c r="L179" s="100">
        <f t="shared" si="2"/>
        <v>6.9</v>
      </c>
      <c r="M179" s="92"/>
      <c r="N179" s="65"/>
      <c r="O179" s="65"/>
      <c r="P179" s="65"/>
      <c r="Q179" s="65"/>
    </row>
    <row r="180" spans="1:17" s="64" customFormat="1" ht="18.75" customHeight="1">
      <c r="A180" s="94">
        <v>157</v>
      </c>
      <c r="B180" s="95" t="s">
        <v>1023</v>
      </c>
      <c r="C180" s="117" t="s">
        <v>41</v>
      </c>
      <c r="D180" s="118" t="s">
        <v>408</v>
      </c>
      <c r="E180" s="94" t="s">
        <v>816</v>
      </c>
      <c r="F180" s="101" t="s">
        <v>1325</v>
      </c>
      <c r="G180" s="98">
        <v>8</v>
      </c>
      <c r="H180" s="99">
        <v>6</v>
      </c>
      <c r="I180" s="98">
        <v>8</v>
      </c>
      <c r="J180" s="98">
        <v>7</v>
      </c>
      <c r="K180" s="98"/>
      <c r="L180" s="100">
        <f t="shared" si="2"/>
        <v>7.2</v>
      </c>
      <c r="M180" s="92"/>
      <c r="N180" s="65"/>
      <c r="O180" s="65"/>
      <c r="P180" s="65"/>
      <c r="Q180" s="65"/>
    </row>
    <row r="181" spans="1:17" s="64" customFormat="1" ht="18.75" customHeight="1">
      <c r="A181" s="94">
        <v>158</v>
      </c>
      <c r="B181" s="95" t="s">
        <v>1024</v>
      </c>
      <c r="C181" s="117" t="s">
        <v>69</v>
      </c>
      <c r="D181" s="118" t="s">
        <v>209</v>
      </c>
      <c r="E181" s="94" t="s">
        <v>583</v>
      </c>
      <c r="F181" s="101" t="s">
        <v>1325</v>
      </c>
      <c r="G181" s="98">
        <v>7</v>
      </c>
      <c r="H181" s="99">
        <v>7</v>
      </c>
      <c r="I181" s="98">
        <v>7</v>
      </c>
      <c r="J181" s="98">
        <v>6</v>
      </c>
      <c r="K181" s="98"/>
      <c r="L181" s="100">
        <f t="shared" si="2"/>
        <v>6.4</v>
      </c>
      <c r="M181" s="92"/>
      <c r="N181" s="65"/>
      <c r="O181" s="65"/>
      <c r="P181" s="65"/>
      <c r="Q181" s="65"/>
    </row>
    <row r="182" spans="1:17" s="64" customFormat="1" ht="18.75" customHeight="1">
      <c r="A182" s="94">
        <v>159</v>
      </c>
      <c r="B182" s="95" t="s">
        <v>1025</v>
      </c>
      <c r="C182" s="117" t="s">
        <v>210</v>
      </c>
      <c r="D182" s="118" t="s">
        <v>37</v>
      </c>
      <c r="E182" s="94" t="s">
        <v>585</v>
      </c>
      <c r="F182" s="101" t="s">
        <v>850</v>
      </c>
      <c r="G182" s="98">
        <v>6</v>
      </c>
      <c r="H182" s="99">
        <v>8</v>
      </c>
      <c r="I182" s="98">
        <v>6</v>
      </c>
      <c r="J182" s="98">
        <v>7</v>
      </c>
      <c r="K182" s="98"/>
      <c r="L182" s="100">
        <f t="shared" si="2"/>
        <v>6.8</v>
      </c>
      <c r="M182" s="92" t="e">
        <f>-ĐH Vinh chuyển sang</f>
        <v>#NAME?</v>
      </c>
      <c r="N182" s="65"/>
      <c r="O182" s="65"/>
      <c r="P182" s="65"/>
      <c r="Q182" s="65"/>
    </row>
    <row r="183" spans="1:17" s="64" customFormat="1" ht="18.75" customHeight="1">
      <c r="A183" s="94">
        <v>160</v>
      </c>
      <c r="B183" s="95" t="s">
        <v>1026</v>
      </c>
      <c r="C183" s="117" t="s">
        <v>393</v>
      </c>
      <c r="D183" s="118" t="s">
        <v>394</v>
      </c>
      <c r="E183" s="94" t="s">
        <v>584</v>
      </c>
      <c r="F183" s="101" t="s">
        <v>850</v>
      </c>
      <c r="G183" s="98">
        <v>6</v>
      </c>
      <c r="H183" s="99">
        <v>9</v>
      </c>
      <c r="I183" s="98">
        <v>6</v>
      </c>
      <c r="J183" s="98">
        <v>7</v>
      </c>
      <c r="K183" s="98"/>
      <c r="L183" s="100">
        <f t="shared" si="2"/>
        <v>6.9</v>
      </c>
      <c r="M183" s="92"/>
      <c r="N183" s="65"/>
      <c r="O183" s="65"/>
      <c r="P183" s="65"/>
      <c r="Q183" s="65"/>
    </row>
    <row r="184" spans="1:17" s="64" customFormat="1" ht="18.75" customHeight="1">
      <c r="A184" s="94">
        <v>161</v>
      </c>
      <c r="B184" s="95" t="s">
        <v>1027</v>
      </c>
      <c r="C184" s="117" t="s">
        <v>227</v>
      </c>
      <c r="D184" s="118" t="s">
        <v>60</v>
      </c>
      <c r="E184" s="94" t="s">
        <v>613</v>
      </c>
      <c r="F184" s="90" t="s">
        <v>1336</v>
      </c>
      <c r="G184" s="98">
        <v>9</v>
      </c>
      <c r="H184" s="99">
        <v>8</v>
      </c>
      <c r="I184" s="98">
        <v>8.5</v>
      </c>
      <c r="J184" s="98">
        <v>9</v>
      </c>
      <c r="K184" s="98"/>
      <c r="L184" s="100">
        <f t="shared" si="2"/>
        <v>8.8</v>
      </c>
      <c r="M184" s="92"/>
      <c r="N184" s="65"/>
      <c r="O184" s="65"/>
      <c r="P184" s="65"/>
      <c r="Q184" s="65"/>
    </row>
    <row r="185" spans="1:17" s="64" customFormat="1" ht="18.75" customHeight="1">
      <c r="A185" s="94">
        <v>162</v>
      </c>
      <c r="B185" s="95" t="s">
        <v>1028</v>
      </c>
      <c r="C185" s="117" t="s">
        <v>155</v>
      </c>
      <c r="D185" s="118" t="s">
        <v>396</v>
      </c>
      <c r="E185" s="94" t="s">
        <v>556</v>
      </c>
      <c r="F185" s="101" t="s">
        <v>1326</v>
      </c>
      <c r="G185" s="98">
        <v>7</v>
      </c>
      <c r="H185" s="99">
        <v>7</v>
      </c>
      <c r="I185" s="98">
        <v>7</v>
      </c>
      <c r="J185" s="98">
        <v>9</v>
      </c>
      <c r="K185" s="98"/>
      <c r="L185" s="100">
        <f t="shared" si="2"/>
        <v>8.2</v>
      </c>
      <c r="M185" s="92"/>
      <c r="N185" s="65"/>
      <c r="O185" s="65"/>
      <c r="P185" s="65"/>
      <c r="Q185" s="65"/>
    </row>
    <row r="186" spans="1:17" s="64" customFormat="1" ht="18.75" customHeight="1">
      <c r="A186" s="94">
        <v>163</v>
      </c>
      <c r="B186" s="95" t="s">
        <v>1029</v>
      </c>
      <c r="C186" s="117" t="s">
        <v>216</v>
      </c>
      <c r="D186" s="118" t="s">
        <v>217</v>
      </c>
      <c r="E186" s="94" t="s">
        <v>595</v>
      </c>
      <c r="F186" s="101" t="s">
        <v>1326</v>
      </c>
      <c r="G186" s="98">
        <v>6</v>
      </c>
      <c r="H186" s="99">
        <v>7</v>
      </c>
      <c r="I186" s="98">
        <v>5</v>
      </c>
      <c r="J186" s="98">
        <v>6</v>
      </c>
      <c r="K186" s="98"/>
      <c r="L186" s="100">
        <f t="shared" si="2"/>
        <v>5.9</v>
      </c>
      <c r="M186" s="92"/>
      <c r="N186" s="65"/>
      <c r="O186" s="65"/>
      <c r="P186" s="65"/>
      <c r="Q186" s="65"/>
    </row>
    <row r="187" spans="1:17" s="64" customFormat="1" ht="18.75" customHeight="1">
      <c r="A187" s="94">
        <v>164</v>
      </c>
      <c r="B187" s="95" t="s">
        <v>1030</v>
      </c>
      <c r="C187" s="117" t="s">
        <v>441</v>
      </c>
      <c r="D187" s="118" t="s">
        <v>436</v>
      </c>
      <c r="E187" s="94" t="s">
        <v>789</v>
      </c>
      <c r="F187" s="101" t="s">
        <v>1326</v>
      </c>
      <c r="G187" s="98">
        <v>6</v>
      </c>
      <c r="H187" s="99">
        <v>7</v>
      </c>
      <c r="I187" s="98">
        <v>5</v>
      </c>
      <c r="J187" s="98">
        <v>8</v>
      </c>
      <c r="K187" s="98"/>
      <c r="L187" s="100">
        <f t="shared" si="2"/>
        <v>7.1</v>
      </c>
      <c r="M187" s="92"/>
      <c r="N187" s="65"/>
      <c r="O187" s="65"/>
      <c r="P187" s="65"/>
      <c r="Q187" s="65"/>
    </row>
    <row r="188" spans="1:17" s="64" customFormat="1" ht="18.75" customHeight="1">
      <c r="A188" s="94">
        <v>165</v>
      </c>
      <c r="B188" s="95" t="s">
        <v>1031</v>
      </c>
      <c r="C188" s="117" t="s">
        <v>211</v>
      </c>
      <c r="D188" s="118" t="s">
        <v>46</v>
      </c>
      <c r="E188" s="94" t="s">
        <v>589</v>
      </c>
      <c r="F188" s="101" t="s">
        <v>1326</v>
      </c>
      <c r="G188" s="98">
        <v>7</v>
      </c>
      <c r="H188" s="99">
        <v>7</v>
      </c>
      <c r="I188" s="98">
        <v>7</v>
      </c>
      <c r="J188" s="98">
        <v>8</v>
      </c>
      <c r="K188" s="98"/>
      <c r="L188" s="100">
        <f t="shared" si="2"/>
        <v>7.6</v>
      </c>
      <c r="M188" s="92"/>
      <c r="N188" s="65"/>
      <c r="O188" s="65"/>
      <c r="P188" s="65"/>
      <c r="Q188" s="65"/>
    </row>
    <row r="189" spans="1:17" s="64" customFormat="1" ht="18.75" customHeight="1">
      <c r="A189" s="94">
        <v>166</v>
      </c>
      <c r="B189" s="95" t="s">
        <v>1032</v>
      </c>
      <c r="C189" s="117" t="s">
        <v>212</v>
      </c>
      <c r="D189" s="118" t="s">
        <v>213</v>
      </c>
      <c r="E189" s="94" t="s">
        <v>590</v>
      </c>
      <c r="F189" s="101" t="s">
        <v>1326</v>
      </c>
      <c r="G189" s="98">
        <v>6</v>
      </c>
      <c r="H189" s="99">
        <v>7</v>
      </c>
      <c r="I189" s="98">
        <v>5.5</v>
      </c>
      <c r="J189" s="98">
        <v>8</v>
      </c>
      <c r="K189" s="98"/>
      <c r="L189" s="100">
        <f t="shared" si="2"/>
        <v>7.2</v>
      </c>
      <c r="M189" s="92"/>
      <c r="N189" s="65"/>
      <c r="O189" s="65"/>
      <c r="P189" s="65"/>
      <c r="Q189" s="65"/>
    </row>
    <row r="190" spans="1:17" s="64" customFormat="1" ht="18.75" customHeight="1">
      <c r="A190" s="94">
        <v>167</v>
      </c>
      <c r="B190" s="95" t="s">
        <v>1033</v>
      </c>
      <c r="C190" s="117" t="s">
        <v>399</v>
      </c>
      <c r="D190" s="118" t="s">
        <v>111</v>
      </c>
      <c r="E190" s="94" t="s">
        <v>599</v>
      </c>
      <c r="F190" s="101" t="s">
        <v>1326</v>
      </c>
      <c r="G190" s="98">
        <v>6</v>
      </c>
      <c r="H190" s="99">
        <v>7</v>
      </c>
      <c r="I190" s="98">
        <v>5</v>
      </c>
      <c r="J190" s="98">
        <v>7</v>
      </c>
      <c r="K190" s="98"/>
      <c r="L190" s="100">
        <f t="shared" si="2"/>
        <v>6.5</v>
      </c>
      <c r="M190" s="92"/>
      <c r="N190" s="65"/>
      <c r="O190" s="65"/>
      <c r="P190" s="65"/>
      <c r="Q190" s="65"/>
    </row>
    <row r="191" spans="1:17" s="64" customFormat="1" ht="18.75" customHeight="1">
      <c r="A191" s="94">
        <v>168</v>
      </c>
      <c r="B191" s="95" t="s">
        <v>1034</v>
      </c>
      <c r="C191" s="117" t="s">
        <v>183</v>
      </c>
      <c r="D191" s="118" t="s">
        <v>111</v>
      </c>
      <c r="E191" s="94" t="s">
        <v>592</v>
      </c>
      <c r="F191" s="101" t="s">
        <v>1326</v>
      </c>
      <c r="G191" s="98">
        <v>6</v>
      </c>
      <c r="H191" s="99">
        <v>7</v>
      </c>
      <c r="I191" s="98">
        <v>6.5</v>
      </c>
      <c r="J191" s="98">
        <v>7</v>
      </c>
      <c r="K191" s="98"/>
      <c r="L191" s="100">
        <f t="shared" si="2"/>
        <v>6.8</v>
      </c>
      <c r="M191" s="92"/>
      <c r="N191" s="65"/>
      <c r="O191" s="65"/>
      <c r="P191" s="65"/>
      <c r="Q191" s="65"/>
    </row>
    <row r="192" spans="1:13" s="65" customFormat="1" ht="18.75" customHeight="1">
      <c r="A192" s="112">
        <v>169</v>
      </c>
      <c r="B192" s="95" t="s">
        <v>1035</v>
      </c>
      <c r="C192" s="122" t="s">
        <v>42</v>
      </c>
      <c r="D192" s="123" t="s">
        <v>57</v>
      </c>
      <c r="E192" s="112" t="s">
        <v>593</v>
      </c>
      <c r="F192" s="113" t="s">
        <v>1326</v>
      </c>
      <c r="G192" s="99">
        <v>8</v>
      </c>
      <c r="H192" s="99">
        <v>7</v>
      </c>
      <c r="I192" s="99">
        <v>8</v>
      </c>
      <c r="J192" s="99">
        <v>7</v>
      </c>
      <c r="K192" s="99"/>
      <c r="L192" s="100">
        <f t="shared" si="2"/>
        <v>7.3</v>
      </c>
      <c r="M192" s="92"/>
    </row>
    <row r="193" spans="1:17" s="68" customFormat="1" ht="18.75" customHeight="1">
      <c r="A193" s="94">
        <v>170</v>
      </c>
      <c r="B193" s="95" t="s">
        <v>1036</v>
      </c>
      <c r="C193" s="117" t="s">
        <v>398</v>
      </c>
      <c r="D193" s="118" t="s">
        <v>89</v>
      </c>
      <c r="E193" s="94" t="s">
        <v>596</v>
      </c>
      <c r="F193" s="101" t="s">
        <v>1326</v>
      </c>
      <c r="G193" s="98">
        <v>6</v>
      </c>
      <c r="H193" s="99">
        <v>6</v>
      </c>
      <c r="I193" s="98">
        <v>5</v>
      </c>
      <c r="J193" s="98">
        <v>5</v>
      </c>
      <c r="K193" s="98"/>
      <c r="L193" s="100">
        <f t="shared" si="2"/>
        <v>5.2</v>
      </c>
      <c r="M193" s="92"/>
      <c r="N193" s="65"/>
      <c r="O193" s="65"/>
      <c r="P193" s="65"/>
      <c r="Q193" s="65"/>
    </row>
    <row r="194" spans="1:17" s="64" customFormat="1" ht="18.75" customHeight="1">
      <c r="A194" s="94">
        <v>171</v>
      </c>
      <c r="B194" s="95" t="s">
        <v>1037</v>
      </c>
      <c r="C194" s="117" t="s">
        <v>395</v>
      </c>
      <c r="D194" s="118" t="s">
        <v>89</v>
      </c>
      <c r="E194" s="94" t="s">
        <v>586</v>
      </c>
      <c r="F194" s="101" t="s">
        <v>1326</v>
      </c>
      <c r="G194" s="98">
        <v>7</v>
      </c>
      <c r="H194" s="99">
        <v>7</v>
      </c>
      <c r="I194" s="98">
        <v>7</v>
      </c>
      <c r="J194" s="98">
        <v>8</v>
      </c>
      <c r="K194" s="98"/>
      <c r="L194" s="100">
        <f t="shared" si="2"/>
        <v>7.6</v>
      </c>
      <c r="M194" s="92"/>
      <c r="N194" s="65"/>
      <c r="O194" s="65"/>
      <c r="P194" s="65"/>
      <c r="Q194" s="65"/>
    </row>
    <row r="195" spans="1:17" s="64" customFormat="1" ht="18.75" customHeight="1">
      <c r="A195" s="94">
        <v>172</v>
      </c>
      <c r="B195" s="95" t="s">
        <v>1038</v>
      </c>
      <c r="C195" s="117" t="s">
        <v>397</v>
      </c>
      <c r="D195" s="118" t="s">
        <v>215</v>
      </c>
      <c r="E195" s="94" t="s">
        <v>594</v>
      </c>
      <c r="F195" s="101" t="s">
        <v>1326</v>
      </c>
      <c r="G195" s="98">
        <v>6</v>
      </c>
      <c r="H195" s="99">
        <v>8</v>
      </c>
      <c r="I195" s="98">
        <v>6</v>
      </c>
      <c r="J195" s="98">
        <v>7</v>
      </c>
      <c r="K195" s="98"/>
      <c r="L195" s="100">
        <f t="shared" si="2"/>
        <v>6.8</v>
      </c>
      <c r="M195" s="92"/>
      <c r="N195" s="65"/>
      <c r="O195" s="65"/>
      <c r="P195" s="65"/>
      <c r="Q195" s="65"/>
    </row>
    <row r="196" spans="1:17" s="64" customFormat="1" ht="18.75" customHeight="1">
      <c r="A196" s="94">
        <v>173</v>
      </c>
      <c r="B196" s="95" t="s">
        <v>1039</v>
      </c>
      <c r="C196" s="117" t="s">
        <v>70</v>
      </c>
      <c r="D196" s="118" t="s">
        <v>191</v>
      </c>
      <c r="E196" s="94" t="s">
        <v>587</v>
      </c>
      <c r="F196" s="101" t="s">
        <v>1326</v>
      </c>
      <c r="G196" s="98">
        <v>7</v>
      </c>
      <c r="H196" s="99">
        <v>7</v>
      </c>
      <c r="I196" s="98">
        <v>5.5</v>
      </c>
      <c r="J196" s="98">
        <v>7</v>
      </c>
      <c r="K196" s="98"/>
      <c r="L196" s="100">
        <f t="shared" si="2"/>
        <v>6.7</v>
      </c>
      <c r="M196" s="92"/>
      <c r="N196" s="65"/>
      <c r="O196" s="65"/>
      <c r="P196" s="65"/>
      <c r="Q196" s="65"/>
    </row>
    <row r="197" spans="1:13" s="65" customFormat="1" ht="18.75" customHeight="1">
      <c r="A197" s="112">
        <v>174</v>
      </c>
      <c r="B197" s="95" t="s">
        <v>1040</v>
      </c>
      <c r="C197" s="122" t="s">
        <v>157</v>
      </c>
      <c r="D197" s="123" t="s">
        <v>64</v>
      </c>
      <c r="E197" s="112" t="s">
        <v>597</v>
      </c>
      <c r="F197" s="113" t="s">
        <v>1326</v>
      </c>
      <c r="G197" s="99">
        <v>7</v>
      </c>
      <c r="H197" s="99">
        <v>7</v>
      </c>
      <c r="I197" s="99">
        <v>7</v>
      </c>
      <c r="J197" s="99">
        <v>8</v>
      </c>
      <c r="K197" s="99"/>
      <c r="L197" s="100">
        <f t="shared" si="2"/>
        <v>7.6</v>
      </c>
      <c r="M197" s="92" t="s">
        <v>1341</v>
      </c>
    </row>
    <row r="198" spans="1:13" s="65" customFormat="1" ht="18.75" customHeight="1">
      <c r="A198" s="112">
        <v>175</v>
      </c>
      <c r="B198" s="95" t="s">
        <v>1041</v>
      </c>
      <c r="C198" s="122" t="s">
        <v>214</v>
      </c>
      <c r="D198" s="123" t="s">
        <v>97</v>
      </c>
      <c r="E198" s="112" t="s">
        <v>591</v>
      </c>
      <c r="F198" s="113" t="s">
        <v>1326</v>
      </c>
      <c r="G198" s="99">
        <v>6</v>
      </c>
      <c r="H198" s="99">
        <v>7</v>
      </c>
      <c r="I198" s="99">
        <v>6</v>
      </c>
      <c r="J198" s="99">
        <v>6</v>
      </c>
      <c r="K198" s="99"/>
      <c r="L198" s="100">
        <f t="shared" si="2"/>
        <v>6.1</v>
      </c>
      <c r="M198" s="92"/>
    </row>
    <row r="199" spans="1:13" s="65" customFormat="1" ht="18.75" customHeight="1">
      <c r="A199" s="112">
        <v>176</v>
      </c>
      <c r="B199" s="95" t="s">
        <v>1042</v>
      </c>
      <c r="C199" s="122" t="s">
        <v>41</v>
      </c>
      <c r="D199" s="123" t="s">
        <v>218</v>
      </c>
      <c r="E199" s="112" t="s">
        <v>598</v>
      </c>
      <c r="F199" s="113" t="s">
        <v>1326</v>
      </c>
      <c r="G199" s="99">
        <v>6</v>
      </c>
      <c r="H199" s="99">
        <v>7</v>
      </c>
      <c r="I199" s="99">
        <v>5</v>
      </c>
      <c r="J199" s="99">
        <v>7</v>
      </c>
      <c r="K199" s="99"/>
      <c r="L199" s="100">
        <f t="shared" si="2"/>
        <v>6.5</v>
      </c>
      <c r="M199" s="92"/>
    </row>
    <row r="200" spans="1:13" s="65" customFormat="1" ht="18.75" customHeight="1">
      <c r="A200" s="112">
        <v>177</v>
      </c>
      <c r="B200" s="95" t="s">
        <v>1043</v>
      </c>
      <c r="C200" s="122" t="s">
        <v>61</v>
      </c>
      <c r="D200" s="123" t="s">
        <v>119</v>
      </c>
      <c r="E200" s="112" t="s">
        <v>588</v>
      </c>
      <c r="F200" s="113" t="s">
        <v>1326</v>
      </c>
      <c r="G200" s="99">
        <v>6</v>
      </c>
      <c r="H200" s="99">
        <v>7</v>
      </c>
      <c r="I200" s="99">
        <v>6</v>
      </c>
      <c r="J200" s="99">
        <v>6</v>
      </c>
      <c r="K200" s="99"/>
      <c r="L200" s="100">
        <f t="shared" si="2"/>
        <v>6.1</v>
      </c>
      <c r="M200" s="92"/>
    </row>
    <row r="201" spans="1:17" s="64" customFormat="1" ht="18.75" customHeight="1">
      <c r="A201" s="94">
        <v>178</v>
      </c>
      <c r="B201" s="95" t="s">
        <v>1044</v>
      </c>
      <c r="C201" s="117" t="s">
        <v>41</v>
      </c>
      <c r="D201" s="118" t="s">
        <v>449</v>
      </c>
      <c r="E201" s="94" t="s">
        <v>791</v>
      </c>
      <c r="F201" s="101" t="s">
        <v>1326</v>
      </c>
      <c r="G201" s="98">
        <v>7</v>
      </c>
      <c r="H201" s="99">
        <v>7</v>
      </c>
      <c r="I201" s="98">
        <v>7</v>
      </c>
      <c r="J201" s="98">
        <v>7</v>
      </c>
      <c r="K201" s="98"/>
      <c r="L201" s="100">
        <f t="shared" si="2"/>
        <v>7</v>
      </c>
      <c r="M201" s="92"/>
      <c r="N201" s="65"/>
      <c r="O201" s="65"/>
      <c r="P201" s="65"/>
      <c r="Q201" s="65"/>
    </row>
    <row r="202" spans="1:17" s="64" customFormat="1" ht="18.75" customHeight="1">
      <c r="A202" s="94"/>
      <c r="B202" s="95"/>
      <c r="C202" s="117" t="s">
        <v>1379</v>
      </c>
      <c r="D202" s="118" t="s">
        <v>436</v>
      </c>
      <c r="E202" s="121">
        <v>28738</v>
      </c>
      <c r="F202" s="101" t="s">
        <v>1326</v>
      </c>
      <c r="G202" s="98">
        <v>7</v>
      </c>
      <c r="H202" s="99">
        <v>7</v>
      </c>
      <c r="I202" s="98">
        <v>7</v>
      </c>
      <c r="J202" s="98">
        <v>8</v>
      </c>
      <c r="K202" s="98"/>
      <c r="L202" s="100">
        <f t="shared" si="2"/>
        <v>7.6</v>
      </c>
      <c r="M202" s="92" t="s">
        <v>1369</v>
      </c>
      <c r="N202" s="65"/>
      <c r="O202" s="65"/>
      <c r="P202" s="65"/>
      <c r="Q202" s="65"/>
    </row>
    <row r="203" spans="1:17" s="64" customFormat="1" ht="18.75" customHeight="1">
      <c r="A203" s="94">
        <v>179</v>
      </c>
      <c r="B203" s="95" t="s">
        <v>1045</v>
      </c>
      <c r="C203" s="117" t="s">
        <v>230</v>
      </c>
      <c r="D203" s="118" t="s">
        <v>37</v>
      </c>
      <c r="E203" s="94" t="s">
        <v>618</v>
      </c>
      <c r="F203" s="101" t="s">
        <v>854</v>
      </c>
      <c r="G203" s="98">
        <v>7</v>
      </c>
      <c r="H203" s="99">
        <v>7</v>
      </c>
      <c r="I203" s="98">
        <v>3.5</v>
      </c>
      <c r="J203" s="98">
        <v>7</v>
      </c>
      <c r="K203" s="98"/>
      <c r="L203" s="100">
        <f t="shared" si="2"/>
        <v>6.3</v>
      </c>
      <c r="M203" s="92"/>
      <c r="N203" s="65"/>
      <c r="O203" s="65"/>
      <c r="P203" s="65"/>
      <c r="Q203" s="65"/>
    </row>
    <row r="204" spans="1:17" s="64" customFormat="1" ht="18.75" customHeight="1">
      <c r="A204" s="94">
        <v>180</v>
      </c>
      <c r="B204" s="95" t="s">
        <v>1046</v>
      </c>
      <c r="C204" s="117" t="s">
        <v>208</v>
      </c>
      <c r="D204" s="118" t="s">
        <v>48</v>
      </c>
      <c r="E204" s="94" t="s">
        <v>623</v>
      </c>
      <c r="F204" s="101" t="s">
        <v>854</v>
      </c>
      <c r="G204" s="98">
        <v>7</v>
      </c>
      <c r="H204" s="99">
        <v>9</v>
      </c>
      <c r="I204" s="98">
        <v>7</v>
      </c>
      <c r="J204" s="98">
        <v>7</v>
      </c>
      <c r="K204" s="98"/>
      <c r="L204" s="100">
        <f t="shared" si="2"/>
        <v>7.2</v>
      </c>
      <c r="M204" s="92"/>
      <c r="N204" s="65"/>
      <c r="O204" s="65"/>
      <c r="P204" s="65"/>
      <c r="Q204" s="65"/>
    </row>
    <row r="205" spans="1:17" s="64" customFormat="1" ht="18.75" customHeight="1">
      <c r="A205" s="94">
        <v>181</v>
      </c>
      <c r="B205" s="95" t="s">
        <v>1047</v>
      </c>
      <c r="C205" s="117" t="s">
        <v>232</v>
      </c>
      <c r="D205" s="118" t="s">
        <v>49</v>
      </c>
      <c r="E205" s="94" t="s">
        <v>622</v>
      </c>
      <c r="F205" s="101" t="s">
        <v>854</v>
      </c>
      <c r="G205" s="98">
        <v>7</v>
      </c>
      <c r="H205" s="99">
        <v>7</v>
      </c>
      <c r="I205" s="98">
        <v>7</v>
      </c>
      <c r="J205" s="98">
        <v>5</v>
      </c>
      <c r="K205" s="98"/>
      <c r="L205" s="100">
        <f t="shared" si="2"/>
        <v>5.8</v>
      </c>
      <c r="M205" s="92"/>
      <c r="N205" s="65"/>
      <c r="O205" s="65"/>
      <c r="P205" s="65"/>
      <c r="Q205" s="65"/>
    </row>
    <row r="206" spans="1:17" s="64" customFormat="1" ht="18.75" customHeight="1">
      <c r="A206" s="94">
        <v>182</v>
      </c>
      <c r="B206" s="95" t="s">
        <v>1048</v>
      </c>
      <c r="C206" s="117" t="s">
        <v>405</v>
      </c>
      <c r="D206" s="118" t="s">
        <v>49</v>
      </c>
      <c r="E206" s="94" t="s">
        <v>621</v>
      </c>
      <c r="F206" s="101" t="s">
        <v>854</v>
      </c>
      <c r="G206" s="98">
        <v>6</v>
      </c>
      <c r="H206" s="99">
        <v>7</v>
      </c>
      <c r="I206" s="98">
        <v>3.5</v>
      </c>
      <c r="J206" s="98">
        <v>8</v>
      </c>
      <c r="K206" s="98"/>
      <c r="L206" s="100">
        <f t="shared" si="2"/>
        <v>6.8</v>
      </c>
      <c r="M206" s="92"/>
      <c r="N206" s="65"/>
      <c r="O206" s="65"/>
      <c r="P206" s="65"/>
      <c r="Q206" s="65"/>
    </row>
    <row r="207" spans="1:17" s="64" customFormat="1" ht="18.75" customHeight="1">
      <c r="A207" s="94">
        <v>183</v>
      </c>
      <c r="B207" s="95" t="s">
        <v>1049</v>
      </c>
      <c r="C207" s="117" t="s">
        <v>348</v>
      </c>
      <c r="D207" s="118" t="s">
        <v>51</v>
      </c>
      <c r="E207" s="94" t="s">
        <v>840</v>
      </c>
      <c r="F207" s="101" t="s">
        <v>854</v>
      </c>
      <c r="G207" s="98">
        <v>7</v>
      </c>
      <c r="H207" s="99">
        <v>0</v>
      </c>
      <c r="I207" s="98">
        <v>7</v>
      </c>
      <c r="J207" s="98">
        <v>7</v>
      </c>
      <c r="K207" s="98"/>
      <c r="L207" s="100">
        <f t="shared" si="2"/>
        <v>6.3</v>
      </c>
      <c r="M207" s="92"/>
      <c r="N207" s="65"/>
      <c r="O207" s="65"/>
      <c r="P207" s="65"/>
      <c r="Q207" s="65"/>
    </row>
    <row r="208" spans="1:17" s="66" customFormat="1" ht="18.75" customHeight="1">
      <c r="A208" s="114">
        <v>184</v>
      </c>
      <c r="B208" s="105" t="s">
        <v>1050</v>
      </c>
      <c r="C208" s="119" t="s">
        <v>128</v>
      </c>
      <c r="D208" s="120" t="s">
        <v>58</v>
      </c>
      <c r="E208" s="114" t="s">
        <v>624</v>
      </c>
      <c r="F208" s="116" t="s">
        <v>854</v>
      </c>
      <c r="G208" s="115"/>
      <c r="H208" s="108"/>
      <c r="I208" s="115"/>
      <c r="J208" s="115"/>
      <c r="K208" s="115"/>
      <c r="L208" s="109">
        <f t="shared" si="2"/>
        <v>0</v>
      </c>
      <c r="M208" s="111" t="s">
        <v>1346</v>
      </c>
      <c r="N208" s="79"/>
      <c r="O208" s="79"/>
      <c r="P208" s="79"/>
      <c r="Q208" s="79"/>
    </row>
    <row r="209" spans="1:17" s="64" customFormat="1" ht="18.75" customHeight="1">
      <c r="A209" s="94">
        <v>185</v>
      </c>
      <c r="B209" s="95" t="s">
        <v>1051</v>
      </c>
      <c r="C209" s="117" t="s">
        <v>231</v>
      </c>
      <c r="D209" s="118" t="s">
        <v>394</v>
      </c>
      <c r="E209" s="94" t="s">
        <v>619</v>
      </c>
      <c r="F209" s="101" t="s">
        <v>854</v>
      </c>
      <c r="G209" s="98">
        <v>6</v>
      </c>
      <c r="H209" s="99">
        <v>9</v>
      </c>
      <c r="I209" s="98">
        <v>5.5</v>
      </c>
      <c r="J209" s="98">
        <v>8</v>
      </c>
      <c r="K209" s="98"/>
      <c r="L209" s="100">
        <f t="shared" si="2"/>
        <v>7.4</v>
      </c>
      <c r="M209" s="92"/>
      <c r="N209" s="65"/>
      <c r="O209" s="65"/>
      <c r="P209" s="65"/>
      <c r="Q209" s="65"/>
    </row>
    <row r="210" spans="1:17" s="64" customFormat="1" ht="18.75" customHeight="1">
      <c r="A210" s="94">
        <v>186</v>
      </c>
      <c r="B210" s="95" t="s">
        <v>1052</v>
      </c>
      <c r="C210" s="117" t="s">
        <v>378</v>
      </c>
      <c r="D210" s="118" t="s">
        <v>116</v>
      </c>
      <c r="E210" s="94" t="s">
        <v>615</v>
      </c>
      <c r="F210" s="101" t="s">
        <v>854</v>
      </c>
      <c r="G210" s="98">
        <v>6</v>
      </c>
      <c r="H210" s="99">
        <v>8</v>
      </c>
      <c r="I210" s="98">
        <v>5.5</v>
      </c>
      <c r="J210" s="98">
        <v>8</v>
      </c>
      <c r="K210" s="98"/>
      <c r="L210" s="100">
        <f t="shared" si="2"/>
        <v>7.3</v>
      </c>
      <c r="M210" s="92"/>
      <c r="N210" s="65"/>
      <c r="O210" s="65"/>
      <c r="P210" s="65"/>
      <c r="Q210" s="65"/>
    </row>
    <row r="211" spans="1:17" s="64" customFormat="1" ht="18.75" customHeight="1">
      <c r="A211" s="94">
        <v>187</v>
      </c>
      <c r="B211" s="95" t="s">
        <v>1053</v>
      </c>
      <c r="C211" s="117" t="s">
        <v>228</v>
      </c>
      <c r="D211" s="118" t="s">
        <v>63</v>
      </c>
      <c r="E211" s="94" t="s">
        <v>614</v>
      </c>
      <c r="F211" s="101" t="s">
        <v>854</v>
      </c>
      <c r="G211" s="98">
        <v>6</v>
      </c>
      <c r="H211" s="99">
        <v>6</v>
      </c>
      <c r="I211" s="98">
        <v>7.5</v>
      </c>
      <c r="J211" s="98">
        <v>5</v>
      </c>
      <c r="K211" s="98"/>
      <c r="L211" s="100">
        <f t="shared" si="2"/>
        <v>5.7</v>
      </c>
      <c r="M211" s="92"/>
      <c r="N211" s="65"/>
      <c r="O211" s="65"/>
      <c r="P211" s="65"/>
      <c r="Q211" s="65"/>
    </row>
    <row r="212" spans="1:17" s="64" customFormat="1" ht="18.75" customHeight="1">
      <c r="A212" s="94">
        <v>188</v>
      </c>
      <c r="B212" s="95" t="s">
        <v>1054</v>
      </c>
      <c r="C212" s="117" t="s">
        <v>404</v>
      </c>
      <c r="D212" s="118" t="s">
        <v>64</v>
      </c>
      <c r="E212" s="94" t="s">
        <v>620</v>
      </c>
      <c r="F212" s="101" t="s">
        <v>854</v>
      </c>
      <c r="G212" s="98">
        <v>6</v>
      </c>
      <c r="H212" s="99">
        <v>7</v>
      </c>
      <c r="I212" s="98">
        <v>4</v>
      </c>
      <c r="J212" s="98">
        <v>7</v>
      </c>
      <c r="K212" s="98"/>
      <c r="L212" s="100">
        <f t="shared" si="2"/>
        <v>6.3</v>
      </c>
      <c r="M212" s="92"/>
      <c r="N212" s="65"/>
      <c r="O212" s="65"/>
      <c r="P212" s="65"/>
      <c r="Q212" s="65"/>
    </row>
    <row r="213" spans="1:17" s="64" customFormat="1" ht="18.75" customHeight="1">
      <c r="A213" s="94">
        <v>189</v>
      </c>
      <c r="B213" s="95" t="s">
        <v>1055</v>
      </c>
      <c r="C213" s="117" t="s">
        <v>403</v>
      </c>
      <c r="D213" s="118" t="s">
        <v>115</v>
      </c>
      <c r="E213" s="94" t="s">
        <v>617</v>
      </c>
      <c r="F213" s="101" t="s">
        <v>854</v>
      </c>
      <c r="G213" s="98">
        <v>6</v>
      </c>
      <c r="H213" s="99">
        <v>7</v>
      </c>
      <c r="I213" s="98">
        <v>4</v>
      </c>
      <c r="J213" s="98">
        <v>6</v>
      </c>
      <c r="K213" s="98"/>
      <c r="L213" s="100">
        <f t="shared" si="2"/>
        <v>5.7</v>
      </c>
      <c r="M213" s="92"/>
      <c r="N213" s="65"/>
      <c r="O213" s="65"/>
      <c r="P213" s="65"/>
      <c r="Q213" s="65"/>
    </row>
    <row r="214" spans="1:17" s="64" customFormat="1" ht="18.75" customHeight="1">
      <c r="A214" s="94">
        <v>190</v>
      </c>
      <c r="B214" s="95" t="s">
        <v>1056</v>
      </c>
      <c r="C214" s="117" t="s">
        <v>349</v>
      </c>
      <c r="D214" s="118" t="s">
        <v>866</v>
      </c>
      <c r="E214" s="94" t="s">
        <v>841</v>
      </c>
      <c r="F214" s="101" t="s">
        <v>854</v>
      </c>
      <c r="G214" s="98">
        <v>6</v>
      </c>
      <c r="H214" s="99">
        <v>7</v>
      </c>
      <c r="I214" s="98">
        <v>0</v>
      </c>
      <c r="J214" s="98">
        <v>8</v>
      </c>
      <c r="K214" s="98"/>
      <c r="L214" s="100">
        <f aca="true" t="shared" si="3" ref="L214:L277">ROUND(G214*$C$11+H214*$C$12+I214*$C$13+J214*$C$14+K214*$C$15,1)</f>
        <v>6.1</v>
      </c>
      <c r="M214" s="92"/>
      <c r="N214" s="65"/>
      <c r="O214" s="65"/>
      <c r="P214" s="65"/>
      <c r="Q214" s="65"/>
    </row>
    <row r="215" spans="1:17" s="64" customFormat="1" ht="18.75" customHeight="1">
      <c r="A215" s="94">
        <v>191</v>
      </c>
      <c r="B215" s="95" t="s">
        <v>1057</v>
      </c>
      <c r="C215" s="117" t="s">
        <v>39</v>
      </c>
      <c r="D215" s="118" t="s">
        <v>218</v>
      </c>
      <c r="E215" s="94" t="s">
        <v>625</v>
      </c>
      <c r="F215" s="101" t="s">
        <v>854</v>
      </c>
      <c r="G215" s="98">
        <v>6</v>
      </c>
      <c r="H215" s="99">
        <v>8</v>
      </c>
      <c r="I215" s="98">
        <v>2</v>
      </c>
      <c r="J215" s="98">
        <v>5</v>
      </c>
      <c r="K215" s="98"/>
      <c r="L215" s="100">
        <f t="shared" si="3"/>
        <v>4.8</v>
      </c>
      <c r="M215" s="92"/>
      <c r="N215" s="65"/>
      <c r="O215" s="65"/>
      <c r="P215" s="65"/>
      <c r="Q215" s="65"/>
    </row>
    <row r="216" spans="1:17" s="64" customFormat="1" ht="18.75" customHeight="1">
      <c r="A216" s="94">
        <v>192</v>
      </c>
      <c r="B216" s="95" t="s">
        <v>1058</v>
      </c>
      <c r="C216" s="117" t="s">
        <v>229</v>
      </c>
      <c r="D216" s="118" t="s">
        <v>162</v>
      </c>
      <c r="E216" s="94" t="s">
        <v>616</v>
      </c>
      <c r="F216" s="101" t="s">
        <v>854</v>
      </c>
      <c r="G216" s="98">
        <v>6</v>
      </c>
      <c r="H216" s="99">
        <v>6</v>
      </c>
      <c r="I216" s="98">
        <v>6</v>
      </c>
      <c r="J216" s="98">
        <v>6</v>
      </c>
      <c r="K216" s="98"/>
      <c r="L216" s="100">
        <f t="shared" si="3"/>
        <v>6</v>
      </c>
      <c r="M216" s="92"/>
      <c r="N216" s="65"/>
      <c r="O216" s="65"/>
      <c r="P216" s="65"/>
      <c r="Q216" s="65"/>
    </row>
    <row r="217" spans="1:17" s="64" customFormat="1" ht="18.75" customHeight="1">
      <c r="A217" s="94">
        <v>193</v>
      </c>
      <c r="B217" s="95" t="s">
        <v>1059</v>
      </c>
      <c r="C217" s="117" t="s">
        <v>236</v>
      </c>
      <c r="D217" s="118" t="s">
        <v>37</v>
      </c>
      <c r="E217" s="94" t="s">
        <v>631</v>
      </c>
      <c r="F217" s="101" t="s">
        <v>1327</v>
      </c>
      <c r="G217" s="98">
        <v>6</v>
      </c>
      <c r="H217" s="99">
        <v>7</v>
      </c>
      <c r="I217" s="98">
        <v>6</v>
      </c>
      <c r="J217" s="98">
        <v>9</v>
      </c>
      <c r="K217" s="98"/>
      <c r="L217" s="100">
        <f t="shared" si="3"/>
        <v>7.9</v>
      </c>
      <c r="M217" s="92"/>
      <c r="N217" s="65"/>
      <c r="O217" s="65"/>
      <c r="P217" s="65"/>
      <c r="Q217" s="65"/>
    </row>
    <row r="218" spans="1:17" s="64" customFormat="1" ht="18.75" customHeight="1">
      <c r="A218" s="94">
        <v>194</v>
      </c>
      <c r="B218" s="95" t="s">
        <v>1060</v>
      </c>
      <c r="C218" s="117" t="s">
        <v>341</v>
      </c>
      <c r="D218" s="118" t="s">
        <v>37</v>
      </c>
      <c r="E218" s="94" t="s">
        <v>824</v>
      </c>
      <c r="F218" s="101" t="s">
        <v>1327</v>
      </c>
      <c r="G218" s="98">
        <v>8</v>
      </c>
      <c r="H218" s="99">
        <v>7</v>
      </c>
      <c r="I218" s="98">
        <v>8</v>
      </c>
      <c r="J218" s="98">
        <v>7</v>
      </c>
      <c r="K218" s="98"/>
      <c r="L218" s="100">
        <f t="shared" si="3"/>
        <v>7.3</v>
      </c>
      <c r="M218" s="92"/>
      <c r="N218" s="65"/>
      <c r="O218" s="65"/>
      <c r="P218" s="65"/>
      <c r="Q218" s="65"/>
    </row>
    <row r="219" spans="1:17" s="64" customFormat="1" ht="18.75" customHeight="1">
      <c r="A219" s="94">
        <v>195</v>
      </c>
      <c r="B219" s="95" t="s">
        <v>1061</v>
      </c>
      <c r="C219" s="117" t="s">
        <v>159</v>
      </c>
      <c r="D219" s="118" t="s">
        <v>173</v>
      </c>
      <c r="E219" s="94" t="s">
        <v>637</v>
      </c>
      <c r="F219" s="101" t="s">
        <v>1327</v>
      </c>
      <c r="G219" s="98">
        <v>8</v>
      </c>
      <c r="H219" s="99">
        <v>6</v>
      </c>
      <c r="I219" s="98">
        <v>8</v>
      </c>
      <c r="J219" s="98">
        <v>7</v>
      </c>
      <c r="K219" s="98"/>
      <c r="L219" s="100">
        <f t="shared" si="3"/>
        <v>7.2</v>
      </c>
      <c r="M219" s="92"/>
      <c r="N219" s="65"/>
      <c r="O219" s="65"/>
      <c r="P219" s="65"/>
      <c r="Q219" s="65"/>
    </row>
    <row r="220" spans="1:17" s="64" customFormat="1" ht="18.75" customHeight="1">
      <c r="A220" s="94">
        <v>196</v>
      </c>
      <c r="B220" s="95" t="s">
        <v>1062</v>
      </c>
      <c r="C220" s="117" t="s">
        <v>167</v>
      </c>
      <c r="D220" s="118" t="s">
        <v>194</v>
      </c>
      <c r="E220" s="94" t="s">
        <v>465</v>
      </c>
      <c r="F220" s="101" t="s">
        <v>1327</v>
      </c>
      <c r="G220" s="98">
        <v>7</v>
      </c>
      <c r="H220" s="99">
        <v>7</v>
      </c>
      <c r="I220" s="98">
        <v>7</v>
      </c>
      <c r="J220" s="98">
        <v>7</v>
      </c>
      <c r="K220" s="98"/>
      <c r="L220" s="100">
        <f t="shared" si="3"/>
        <v>7</v>
      </c>
      <c r="M220" s="92"/>
      <c r="N220" s="65"/>
      <c r="O220" s="65"/>
      <c r="P220" s="65"/>
      <c r="Q220" s="65"/>
    </row>
    <row r="221" spans="1:17" s="64" customFormat="1" ht="18.75" customHeight="1">
      <c r="A221" s="94">
        <v>197</v>
      </c>
      <c r="B221" s="95" t="s">
        <v>1063</v>
      </c>
      <c r="C221" s="117" t="s">
        <v>295</v>
      </c>
      <c r="D221" s="118" t="s">
        <v>325</v>
      </c>
      <c r="E221" s="94" t="s">
        <v>791</v>
      </c>
      <c r="F221" s="101" t="s">
        <v>1327</v>
      </c>
      <c r="G221" s="98">
        <v>7</v>
      </c>
      <c r="H221" s="99">
        <v>7</v>
      </c>
      <c r="I221" s="98">
        <v>7</v>
      </c>
      <c r="J221" s="98">
        <v>8</v>
      </c>
      <c r="K221" s="98"/>
      <c r="L221" s="100">
        <f t="shared" si="3"/>
        <v>7.6</v>
      </c>
      <c r="M221" s="92"/>
      <c r="N221" s="65"/>
      <c r="O221" s="65"/>
      <c r="P221" s="65"/>
      <c r="Q221" s="65"/>
    </row>
    <row r="222" spans="1:17" s="64" customFormat="1" ht="18.75" customHeight="1">
      <c r="A222" s="94">
        <v>198</v>
      </c>
      <c r="B222" s="95" t="s">
        <v>1064</v>
      </c>
      <c r="C222" s="117" t="s">
        <v>451</v>
      </c>
      <c r="D222" s="118" t="s">
        <v>47</v>
      </c>
      <c r="E222" s="94" t="s">
        <v>822</v>
      </c>
      <c r="F222" s="101" t="s">
        <v>1327</v>
      </c>
      <c r="G222" s="98">
        <v>9</v>
      </c>
      <c r="H222" s="99">
        <v>6</v>
      </c>
      <c r="I222" s="98">
        <v>8.5</v>
      </c>
      <c r="J222" s="98">
        <v>9</v>
      </c>
      <c r="K222" s="98"/>
      <c r="L222" s="100">
        <f t="shared" si="3"/>
        <v>8.6</v>
      </c>
      <c r="M222" s="92"/>
      <c r="N222" s="65"/>
      <c r="O222" s="65"/>
      <c r="P222" s="65"/>
      <c r="Q222" s="65"/>
    </row>
    <row r="223" spans="1:13" s="65" customFormat="1" ht="18.75" customHeight="1">
      <c r="A223" s="112">
        <v>199</v>
      </c>
      <c r="B223" s="95" t="s">
        <v>1065</v>
      </c>
      <c r="C223" s="122" t="s">
        <v>219</v>
      </c>
      <c r="D223" s="123" t="s">
        <v>48</v>
      </c>
      <c r="E223" s="112" t="s">
        <v>463</v>
      </c>
      <c r="F223" s="113" t="s">
        <v>1327</v>
      </c>
      <c r="G223" s="99">
        <v>6</v>
      </c>
      <c r="H223" s="99">
        <v>8</v>
      </c>
      <c r="I223" s="99">
        <v>6</v>
      </c>
      <c r="J223" s="99">
        <v>5</v>
      </c>
      <c r="K223" s="99"/>
      <c r="L223" s="100">
        <f t="shared" si="3"/>
        <v>5.6</v>
      </c>
      <c r="M223" s="92"/>
    </row>
    <row r="224" spans="1:17" s="64" customFormat="1" ht="18.75" customHeight="1">
      <c r="A224" s="94">
        <v>200</v>
      </c>
      <c r="B224" s="95" t="s">
        <v>1066</v>
      </c>
      <c r="C224" s="117" t="s">
        <v>233</v>
      </c>
      <c r="D224" s="118" t="s">
        <v>48</v>
      </c>
      <c r="E224" s="94" t="s">
        <v>626</v>
      </c>
      <c r="F224" s="101" t="s">
        <v>1327</v>
      </c>
      <c r="G224" s="98">
        <v>6</v>
      </c>
      <c r="H224" s="99">
        <v>5</v>
      </c>
      <c r="I224" s="98">
        <v>5.5</v>
      </c>
      <c r="J224" s="98">
        <v>8</v>
      </c>
      <c r="K224" s="98"/>
      <c r="L224" s="100">
        <f t="shared" si="3"/>
        <v>7</v>
      </c>
      <c r="M224" s="92"/>
      <c r="N224" s="65"/>
      <c r="O224" s="65"/>
      <c r="P224" s="65"/>
      <c r="Q224" s="65"/>
    </row>
    <row r="225" spans="1:17" s="64" customFormat="1" ht="18.75" customHeight="1">
      <c r="A225" s="94">
        <v>201</v>
      </c>
      <c r="B225" s="95" t="s">
        <v>1067</v>
      </c>
      <c r="C225" s="117" t="s">
        <v>233</v>
      </c>
      <c r="D225" s="118" t="s">
        <v>86</v>
      </c>
      <c r="E225" s="94" t="s">
        <v>632</v>
      </c>
      <c r="F225" s="101" t="s">
        <v>1327</v>
      </c>
      <c r="G225" s="98">
        <v>7</v>
      </c>
      <c r="H225" s="99">
        <v>6</v>
      </c>
      <c r="I225" s="98">
        <v>6.5</v>
      </c>
      <c r="J225" s="98">
        <v>7</v>
      </c>
      <c r="K225" s="98"/>
      <c r="L225" s="100">
        <f t="shared" si="3"/>
        <v>6.8</v>
      </c>
      <c r="M225" s="92"/>
      <c r="N225" s="65"/>
      <c r="O225" s="65"/>
      <c r="P225" s="65"/>
      <c r="Q225" s="65"/>
    </row>
    <row r="226" spans="1:17" s="64" customFormat="1" ht="18.75" customHeight="1">
      <c r="A226" s="94">
        <v>202</v>
      </c>
      <c r="B226" s="95" t="s">
        <v>1068</v>
      </c>
      <c r="C226" s="117" t="s">
        <v>41</v>
      </c>
      <c r="D226" s="118" t="s">
        <v>235</v>
      </c>
      <c r="E226" s="94" t="s">
        <v>628</v>
      </c>
      <c r="F226" s="101" t="s">
        <v>1327</v>
      </c>
      <c r="G226" s="98">
        <v>6</v>
      </c>
      <c r="H226" s="99">
        <v>7</v>
      </c>
      <c r="I226" s="98">
        <v>5.5</v>
      </c>
      <c r="J226" s="98">
        <v>9</v>
      </c>
      <c r="K226" s="98"/>
      <c r="L226" s="100">
        <f t="shared" si="3"/>
        <v>7.8</v>
      </c>
      <c r="M226" s="92"/>
      <c r="N226" s="65"/>
      <c r="O226" s="65"/>
      <c r="P226" s="65"/>
      <c r="Q226" s="65"/>
    </row>
    <row r="227" spans="1:17" s="64" customFormat="1" ht="18.75" customHeight="1">
      <c r="A227" s="94">
        <v>203</v>
      </c>
      <c r="B227" s="95" t="s">
        <v>1069</v>
      </c>
      <c r="C227" s="117" t="s">
        <v>122</v>
      </c>
      <c r="D227" s="118" t="s">
        <v>89</v>
      </c>
      <c r="E227" s="94" t="s">
        <v>635</v>
      </c>
      <c r="F227" s="101" t="s">
        <v>1327</v>
      </c>
      <c r="G227" s="98">
        <v>7</v>
      </c>
      <c r="H227" s="99">
        <v>7</v>
      </c>
      <c r="I227" s="98">
        <v>7</v>
      </c>
      <c r="J227" s="98">
        <v>6</v>
      </c>
      <c r="K227" s="98"/>
      <c r="L227" s="100">
        <f t="shared" si="3"/>
        <v>6.4</v>
      </c>
      <c r="M227" s="92"/>
      <c r="N227" s="65"/>
      <c r="O227" s="65"/>
      <c r="P227" s="65"/>
      <c r="Q227" s="65"/>
    </row>
    <row r="228" spans="1:13" s="65" customFormat="1" ht="18.75" customHeight="1">
      <c r="A228" s="112">
        <v>204</v>
      </c>
      <c r="B228" s="95" t="s">
        <v>1070</v>
      </c>
      <c r="C228" s="122" t="s">
        <v>237</v>
      </c>
      <c r="D228" s="123" t="s">
        <v>89</v>
      </c>
      <c r="E228" s="112" t="s">
        <v>633</v>
      </c>
      <c r="F228" s="113" t="s">
        <v>1327</v>
      </c>
      <c r="G228" s="99">
        <v>0</v>
      </c>
      <c r="H228" s="99">
        <v>6</v>
      </c>
      <c r="I228" s="99">
        <v>0</v>
      </c>
      <c r="J228" s="99">
        <v>8</v>
      </c>
      <c r="K228" s="99"/>
      <c r="L228" s="100">
        <f t="shared" si="3"/>
        <v>5.4</v>
      </c>
      <c r="M228" s="92" t="s">
        <v>1354</v>
      </c>
    </row>
    <row r="229" spans="1:17" s="68" customFormat="1" ht="18.75" customHeight="1">
      <c r="A229" s="94">
        <v>205</v>
      </c>
      <c r="B229" s="95" t="s">
        <v>1071</v>
      </c>
      <c r="C229" s="117" t="s">
        <v>61</v>
      </c>
      <c r="D229" s="118" t="s">
        <v>342</v>
      </c>
      <c r="E229" s="94" t="s">
        <v>825</v>
      </c>
      <c r="F229" s="101" t="s">
        <v>1327</v>
      </c>
      <c r="G229" s="98">
        <v>8</v>
      </c>
      <c r="H229" s="99">
        <v>7</v>
      </c>
      <c r="I229" s="98">
        <v>8</v>
      </c>
      <c r="J229" s="98">
        <v>8</v>
      </c>
      <c r="K229" s="98"/>
      <c r="L229" s="100">
        <f t="shared" si="3"/>
        <v>7.9</v>
      </c>
      <c r="M229" s="92"/>
      <c r="N229" s="65"/>
      <c r="O229" s="65"/>
      <c r="P229" s="65"/>
      <c r="Q229" s="65"/>
    </row>
    <row r="230" spans="1:17" s="64" customFormat="1" ht="18.75" customHeight="1">
      <c r="A230" s="94">
        <v>206</v>
      </c>
      <c r="B230" s="95" t="s">
        <v>1072</v>
      </c>
      <c r="C230" s="117" t="s">
        <v>52</v>
      </c>
      <c r="D230" s="118" t="s">
        <v>238</v>
      </c>
      <c r="E230" s="94" t="s">
        <v>636</v>
      </c>
      <c r="F230" s="101" t="s">
        <v>1327</v>
      </c>
      <c r="G230" s="98">
        <v>7</v>
      </c>
      <c r="H230" s="99">
        <v>4</v>
      </c>
      <c r="I230" s="98">
        <v>7</v>
      </c>
      <c r="J230" s="98">
        <v>7</v>
      </c>
      <c r="K230" s="98"/>
      <c r="L230" s="100">
        <f t="shared" si="3"/>
        <v>6.7</v>
      </c>
      <c r="M230" s="92"/>
      <c r="N230" s="65"/>
      <c r="O230" s="65"/>
      <c r="P230" s="65"/>
      <c r="Q230" s="65"/>
    </row>
    <row r="231" spans="1:17" s="64" customFormat="1" ht="18.75" customHeight="1">
      <c r="A231" s="94">
        <v>207</v>
      </c>
      <c r="B231" s="95" t="s">
        <v>1073</v>
      </c>
      <c r="C231" s="117" t="s">
        <v>79</v>
      </c>
      <c r="D231" s="118" t="s">
        <v>62</v>
      </c>
      <c r="E231" s="94" t="s">
        <v>572</v>
      </c>
      <c r="F231" s="101" t="s">
        <v>1327</v>
      </c>
      <c r="G231" s="98">
        <v>8</v>
      </c>
      <c r="H231" s="99">
        <v>6</v>
      </c>
      <c r="I231" s="98">
        <v>8</v>
      </c>
      <c r="J231" s="98">
        <v>7</v>
      </c>
      <c r="K231" s="98"/>
      <c r="L231" s="100">
        <f t="shared" si="3"/>
        <v>7.2</v>
      </c>
      <c r="M231" s="92"/>
      <c r="N231" s="65"/>
      <c r="O231" s="65"/>
      <c r="P231" s="65"/>
      <c r="Q231" s="65"/>
    </row>
    <row r="232" spans="1:17" s="64" customFormat="1" ht="18.75" customHeight="1">
      <c r="A232" s="94">
        <v>208</v>
      </c>
      <c r="B232" s="95" t="s">
        <v>1074</v>
      </c>
      <c r="C232" s="117" t="s">
        <v>180</v>
      </c>
      <c r="D232" s="118" t="s">
        <v>62</v>
      </c>
      <c r="E232" s="94" t="s">
        <v>667</v>
      </c>
      <c r="F232" s="101" t="s">
        <v>1400</v>
      </c>
      <c r="G232" s="98">
        <v>6</v>
      </c>
      <c r="H232" s="99">
        <v>6</v>
      </c>
      <c r="I232" s="98">
        <v>6</v>
      </c>
      <c r="J232" s="98">
        <v>8</v>
      </c>
      <c r="K232" s="98"/>
      <c r="L232" s="100">
        <f t="shared" si="3"/>
        <v>7.2</v>
      </c>
      <c r="M232" s="92" t="s">
        <v>1401</v>
      </c>
      <c r="N232" s="65"/>
      <c r="O232" s="65"/>
      <c r="P232" s="65"/>
      <c r="Q232" s="65"/>
    </row>
    <row r="233" spans="1:17" s="66" customFormat="1" ht="18.75" customHeight="1">
      <c r="A233" s="114">
        <v>209</v>
      </c>
      <c r="B233" s="105" t="s">
        <v>1075</v>
      </c>
      <c r="C233" s="119" t="s">
        <v>41</v>
      </c>
      <c r="D233" s="120" t="s">
        <v>184</v>
      </c>
      <c r="E233" s="114" t="s">
        <v>630</v>
      </c>
      <c r="F233" s="116" t="s">
        <v>1327</v>
      </c>
      <c r="G233" s="115"/>
      <c r="H233" s="108"/>
      <c r="I233" s="115"/>
      <c r="J233" s="115"/>
      <c r="K233" s="115"/>
      <c r="L233" s="109">
        <f t="shared" si="3"/>
        <v>0</v>
      </c>
      <c r="M233" s="111" t="s">
        <v>1346</v>
      </c>
      <c r="N233" s="79"/>
      <c r="O233" s="79"/>
      <c r="P233" s="79"/>
      <c r="Q233" s="79"/>
    </row>
    <row r="234" spans="1:17" s="64" customFormat="1" ht="18.75" customHeight="1">
      <c r="A234" s="94">
        <v>210</v>
      </c>
      <c r="B234" s="95" t="s">
        <v>1076</v>
      </c>
      <c r="C234" s="117" t="s">
        <v>324</v>
      </c>
      <c r="D234" s="118" t="s">
        <v>442</v>
      </c>
      <c r="E234" s="94" t="s">
        <v>790</v>
      </c>
      <c r="F234" s="101" t="s">
        <v>1327</v>
      </c>
      <c r="G234" s="98">
        <v>8</v>
      </c>
      <c r="H234" s="99">
        <v>5</v>
      </c>
      <c r="I234" s="98">
        <v>8</v>
      </c>
      <c r="J234" s="98">
        <v>8</v>
      </c>
      <c r="K234" s="98"/>
      <c r="L234" s="100">
        <f t="shared" si="3"/>
        <v>7.7</v>
      </c>
      <c r="M234" s="92"/>
      <c r="N234" s="65"/>
      <c r="O234" s="65"/>
      <c r="P234" s="65"/>
      <c r="Q234" s="65"/>
    </row>
    <row r="235" spans="1:17" s="64" customFormat="1" ht="18.75" customHeight="1">
      <c r="A235" s="94">
        <v>211</v>
      </c>
      <c r="B235" s="95" t="s">
        <v>1077</v>
      </c>
      <c r="C235" s="117" t="s">
        <v>52</v>
      </c>
      <c r="D235" s="118" t="s">
        <v>146</v>
      </c>
      <c r="E235" s="94" t="s">
        <v>826</v>
      </c>
      <c r="F235" s="101" t="s">
        <v>1327</v>
      </c>
      <c r="G235" s="98">
        <v>8</v>
      </c>
      <c r="H235" s="99">
        <v>6</v>
      </c>
      <c r="I235" s="98">
        <v>8</v>
      </c>
      <c r="J235" s="98">
        <v>7</v>
      </c>
      <c r="K235" s="98"/>
      <c r="L235" s="100">
        <f t="shared" si="3"/>
        <v>7.2</v>
      </c>
      <c r="M235" s="92"/>
      <c r="N235" s="65"/>
      <c r="O235" s="65"/>
      <c r="P235" s="65"/>
      <c r="Q235" s="65"/>
    </row>
    <row r="236" spans="1:17" s="64" customFormat="1" ht="18.75" customHeight="1">
      <c r="A236" s="94">
        <v>212</v>
      </c>
      <c r="B236" s="95" t="s">
        <v>1078</v>
      </c>
      <c r="C236" s="117" t="s">
        <v>281</v>
      </c>
      <c r="D236" s="118" t="s">
        <v>406</v>
      </c>
      <c r="E236" s="94" t="s">
        <v>823</v>
      </c>
      <c r="F236" s="101" t="s">
        <v>1327</v>
      </c>
      <c r="G236" s="98">
        <v>8</v>
      </c>
      <c r="H236" s="99">
        <v>7</v>
      </c>
      <c r="I236" s="98">
        <v>8</v>
      </c>
      <c r="J236" s="98">
        <v>8</v>
      </c>
      <c r="K236" s="98"/>
      <c r="L236" s="100">
        <f t="shared" si="3"/>
        <v>7.9</v>
      </c>
      <c r="M236" s="92"/>
      <c r="N236" s="65"/>
      <c r="O236" s="65"/>
      <c r="P236" s="65"/>
      <c r="Q236" s="65"/>
    </row>
    <row r="237" spans="1:17" s="64" customFormat="1" ht="18.75" customHeight="1">
      <c r="A237" s="94">
        <v>213</v>
      </c>
      <c r="B237" s="95" t="s">
        <v>1079</v>
      </c>
      <c r="C237" s="117" t="s">
        <v>122</v>
      </c>
      <c r="D237" s="118" t="s">
        <v>406</v>
      </c>
      <c r="E237" s="94" t="s">
        <v>639</v>
      </c>
      <c r="F237" s="101" t="s">
        <v>1327</v>
      </c>
      <c r="G237" s="98">
        <v>8</v>
      </c>
      <c r="H237" s="99">
        <v>8</v>
      </c>
      <c r="I237" s="98">
        <v>7.5</v>
      </c>
      <c r="J237" s="98">
        <v>7</v>
      </c>
      <c r="K237" s="98"/>
      <c r="L237" s="100">
        <f t="shared" si="3"/>
        <v>7.3</v>
      </c>
      <c r="M237" s="92"/>
      <c r="N237" s="65"/>
      <c r="O237" s="65"/>
      <c r="P237" s="65"/>
      <c r="Q237" s="65"/>
    </row>
    <row r="238" spans="1:17" s="64" customFormat="1" ht="18.75" customHeight="1">
      <c r="A238" s="94">
        <v>214</v>
      </c>
      <c r="B238" s="95" t="s">
        <v>1080</v>
      </c>
      <c r="C238" s="117" t="s">
        <v>359</v>
      </c>
      <c r="D238" s="118" t="s">
        <v>119</v>
      </c>
      <c r="E238" s="94" t="s">
        <v>629</v>
      </c>
      <c r="F238" s="101" t="s">
        <v>1327</v>
      </c>
      <c r="G238" s="98">
        <v>6</v>
      </c>
      <c r="H238" s="99">
        <v>6</v>
      </c>
      <c r="I238" s="98">
        <v>6</v>
      </c>
      <c r="J238" s="98">
        <v>7</v>
      </c>
      <c r="K238" s="98"/>
      <c r="L238" s="100">
        <f t="shared" si="3"/>
        <v>6.6</v>
      </c>
      <c r="M238" s="92"/>
      <c r="N238" s="65"/>
      <c r="O238" s="65"/>
      <c r="P238" s="65"/>
      <c r="Q238" s="65"/>
    </row>
    <row r="239" spans="1:17" s="64" customFormat="1" ht="18.75" customHeight="1">
      <c r="A239" s="94">
        <v>215</v>
      </c>
      <c r="B239" s="95" t="s">
        <v>1081</v>
      </c>
      <c r="C239" s="117" t="s">
        <v>234</v>
      </c>
      <c r="D239" s="118" t="s">
        <v>119</v>
      </c>
      <c r="E239" s="94" t="s">
        <v>627</v>
      </c>
      <c r="F239" s="101" t="s">
        <v>1327</v>
      </c>
      <c r="G239" s="98">
        <v>8</v>
      </c>
      <c r="H239" s="99">
        <v>7</v>
      </c>
      <c r="I239" s="98">
        <v>8</v>
      </c>
      <c r="J239" s="98">
        <v>4</v>
      </c>
      <c r="K239" s="98"/>
      <c r="L239" s="100">
        <f t="shared" si="3"/>
        <v>5.5</v>
      </c>
      <c r="M239" s="92"/>
      <c r="N239" s="65"/>
      <c r="O239" s="65"/>
      <c r="P239" s="65"/>
      <c r="Q239" s="65"/>
    </row>
    <row r="240" spans="1:17" s="64" customFormat="1" ht="18.75" customHeight="1">
      <c r="A240" s="94">
        <v>216</v>
      </c>
      <c r="B240" s="95" t="s">
        <v>1082</v>
      </c>
      <c r="C240" s="117" t="s">
        <v>239</v>
      </c>
      <c r="D240" s="118" t="s">
        <v>240</v>
      </c>
      <c r="E240" s="94" t="s">
        <v>638</v>
      </c>
      <c r="F240" s="101" t="s">
        <v>1327</v>
      </c>
      <c r="G240" s="98">
        <v>7</v>
      </c>
      <c r="H240" s="99">
        <v>6</v>
      </c>
      <c r="I240" s="98">
        <v>7</v>
      </c>
      <c r="J240" s="98">
        <v>8</v>
      </c>
      <c r="K240" s="98"/>
      <c r="L240" s="100">
        <f t="shared" si="3"/>
        <v>7.5</v>
      </c>
      <c r="M240" s="92"/>
      <c r="N240" s="65"/>
      <c r="O240" s="65"/>
      <c r="P240" s="65"/>
      <c r="Q240" s="65"/>
    </row>
    <row r="241" spans="1:17" s="64" customFormat="1" ht="18.75" customHeight="1">
      <c r="A241" s="94">
        <v>217</v>
      </c>
      <c r="B241" s="95" t="s">
        <v>1083</v>
      </c>
      <c r="C241" s="117" t="s">
        <v>52</v>
      </c>
      <c r="D241" s="118" t="s">
        <v>104</v>
      </c>
      <c r="E241" s="94" t="s">
        <v>634</v>
      </c>
      <c r="F241" s="101" t="s">
        <v>1327</v>
      </c>
      <c r="G241" s="98">
        <v>7</v>
      </c>
      <c r="H241" s="99">
        <v>6</v>
      </c>
      <c r="I241" s="98">
        <v>7</v>
      </c>
      <c r="J241" s="98">
        <v>9</v>
      </c>
      <c r="K241" s="98"/>
      <c r="L241" s="100">
        <f t="shared" si="3"/>
        <v>8.1</v>
      </c>
      <c r="M241" s="92"/>
      <c r="N241" s="65"/>
      <c r="O241" s="65"/>
      <c r="P241" s="65"/>
      <c r="Q241" s="65"/>
    </row>
    <row r="242" spans="1:13" s="65" customFormat="1" ht="18.75" customHeight="1">
      <c r="A242" s="112">
        <v>218</v>
      </c>
      <c r="B242" s="95"/>
      <c r="C242" s="122" t="s">
        <v>1367</v>
      </c>
      <c r="D242" s="123" t="s">
        <v>1368</v>
      </c>
      <c r="E242" s="130">
        <v>29386</v>
      </c>
      <c r="F242" s="113" t="s">
        <v>1327</v>
      </c>
      <c r="G242" s="99">
        <v>7</v>
      </c>
      <c r="H242" s="99">
        <v>5</v>
      </c>
      <c r="I242" s="99">
        <v>6.5</v>
      </c>
      <c r="J242" s="99">
        <v>8</v>
      </c>
      <c r="K242" s="99"/>
      <c r="L242" s="100">
        <f t="shared" si="3"/>
        <v>7.3</v>
      </c>
      <c r="M242" s="92" t="s">
        <v>1369</v>
      </c>
    </row>
    <row r="243" spans="1:17" s="64" customFormat="1" ht="18.75" customHeight="1">
      <c r="A243" s="94">
        <v>219</v>
      </c>
      <c r="B243" s="95" t="s">
        <v>1084</v>
      </c>
      <c r="C243" s="117" t="s">
        <v>219</v>
      </c>
      <c r="D243" s="118" t="s">
        <v>418</v>
      </c>
      <c r="E243" s="94" t="s">
        <v>696</v>
      </c>
      <c r="F243" s="101" t="s">
        <v>855</v>
      </c>
      <c r="G243" s="98">
        <v>6</v>
      </c>
      <c r="H243" s="99">
        <v>8</v>
      </c>
      <c r="I243" s="98">
        <v>5.5</v>
      </c>
      <c r="J243" s="98">
        <v>7</v>
      </c>
      <c r="K243" s="98"/>
      <c r="L243" s="100">
        <f t="shared" si="3"/>
        <v>6.7</v>
      </c>
      <c r="M243" s="92"/>
      <c r="N243" s="65"/>
      <c r="O243" s="65"/>
      <c r="P243" s="65"/>
      <c r="Q243" s="65"/>
    </row>
    <row r="244" spans="1:17" s="66" customFormat="1" ht="18.75" customHeight="1">
      <c r="A244" s="114">
        <v>220</v>
      </c>
      <c r="B244" s="105" t="s">
        <v>1085</v>
      </c>
      <c r="C244" s="119" t="s">
        <v>259</v>
      </c>
      <c r="D244" s="120" t="s">
        <v>260</v>
      </c>
      <c r="E244" s="114" t="s">
        <v>674</v>
      </c>
      <c r="F244" s="116" t="s">
        <v>855</v>
      </c>
      <c r="G244" s="115"/>
      <c r="H244" s="108"/>
      <c r="I244" s="115"/>
      <c r="J244" s="115"/>
      <c r="K244" s="115"/>
      <c r="L244" s="109">
        <f t="shared" si="3"/>
        <v>0</v>
      </c>
      <c r="M244" s="111" t="s">
        <v>1340</v>
      </c>
      <c r="N244" s="79"/>
      <c r="O244" s="79"/>
      <c r="P244" s="79"/>
      <c r="Q244" s="79"/>
    </row>
    <row r="245" spans="1:17" s="64" customFormat="1" ht="18.75" customHeight="1">
      <c r="A245" s="94">
        <v>221</v>
      </c>
      <c r="B245" s="95" t="s">
        <v>1086</v>
      </c>
      <c r="C245" s="117" t="s">
        <v>266</v>
      </c>
      <c r="D245" s="118" t="s">
        <v>47</v>
      </c>
      <c r="E245" s="94" t="s">
        <v>692</v>
      </c>
      <c r="F245" s="101" t="s">
        <v>855</v>
      </c>
      <c r="G245" s="98">
        <v>8</v>
      </c>
      <c r="H245" s="99">
        <v>9</v>
      </c>
      <c r="I245" s="98">
        <v>7.5</v>
      </c>
      <c r="J245" s="98">
        <v>7</v>
      </c>
      <c r="K245" s="98"/>
      <c r="L245" s="100">
        <f t="shared" si="3"/>
        <v>7.4</v>
      </c>
      <c r="M245" s="92"/>
      <c r="N245" s="65"/>
      <c r="O245" s="65"/>
      <c r="P245" s="65"/>
      <c r="Q245" s="65"/>
    </row>
    <row r="246" spans="1:17" s="64" customFormat="1" ht="18.75" customHeight="1">
      <c r="A246" s="94">
        <v>222</v>
      </c>
      <c r="B246" s="95" t="s">
        <v>1087</v>
      </c>
      <c r="C246" s="117" t="s">
        <v>216</v>
      </c>
      <c r="D246" s="118" t="s">
        <v>241</v>
      </c>
      <c r="E246" s="94" t="s">
        <v>670</v>
      </c>
      <c r="F246" s="101" t="s">
        <v>855</v>
      </c>
      <c r="G246" s="98">
        <v>6</v>
      </c>
      <c r="H246" s="99">
        <v>8</v>
      </c>
      <c r="I246" s="98">
        <v>4</v>
      </c>
      <c r="J246" s="98">
        <v>4</v>
      </c>
      <c r="K246" s="98"/>
      <c r="L246" s="100">
        <f t="shared" si="3"/>
        <v>4.6</v>
      </c>
      <c r="M246" s="92"/>
      <c r="N246" s="65"/>
      <c r="O246" s="65"/>
      <c r="P246" s="65"/>
      <c r="Q246" s="65"/>
    </row>
    <row r="247" spans="1:17" s="64" customFormat="1" ht="18.75" customHeight="1">
      <c r="A247" s="94">
        <v>223</v>
      </c>
      <c r="B247" s="95" t="s">
        <v>1088</v>
      </c>
      <c r="C247" s="117" t="s">
        <v>350</v>
      </c>
      <c r="D247" s="118" t="s">
        <v>282</v>
      </c>
      <c r="E247" s="94" t="s">
        <v>842</v>
      </c>
      <c r="F247" s="101" t="s">
        <v>855</v>
      </c>
      <c r="G247" s="98">
        <v>6</v>
      </c>
      <c r="H247" s="99">
        <v>8</v>
      </c>
      <c r="I247" s="98">
        <v>4</v>
      </c>
      <c r="J247" s="98">
        <v>8</v>
      </c>
      <c r="K247" s="98"/>
      <c r="L247" s="100">
        <f t="shared" si="3"/>
        <v>7</v>
      </c>
      <c r="M247" s="92"/>
      <c r="N247" s="65"/>
      <c r="O247" s="65"/>
      <c r="P247" s="65"/>
      <c r="Q247" s="65"/>
    </row>
    <row r="248" spans="1:17" s="64" customFormat="1" ht="18.75" customHeight="1">
      <c r="A248" s="94">
        <v>224</v>
      </c>
      <c r="B248" s="95" t="s">
        <v>1089</v>
      </c>
      <c r="C248" s="117" t="s">
        <v>130</v>
      </c>
      <c r="D248" s="118" t="s">
        <v>53</v>
      </c>
      <c r="E248" s="94" t="s">
        <v>668</v>
      </c>
      <c r="F248" s="101" t="s">
        <v>855</v>
      </c>
      <c r="G248" s="98">
        <v>7</v>
      </c>
      <c r="H248" s="99">
        <v>9</v>
      </c>
      <c r="I248" s="98">
        <v>7</v>
      </c>
      <c r="J248" s="98">
        <v>8</v>
      </c>
      <c r="K248" s="98"/>
      <c r="L248" s="100">
        <f t="shared" si="3"/>
        <v>7.8</v>
      </c>
      <c r="M248" s="92"/>
      <c r="N248" s="65"/>
      <c r="O248" s="65"/>
      <c r="P248" s="65"/>
      <c r="Q248" s="65"/>
    </row>
    <row r="249" spans="1:17" s="66" customFormat="1" ht="18.75" customHeight="1">
      <c r="A249" s="114">
        <v>225</v>
      </c>
      <c r="B249" s="105" t="s">
        <v>1090</v>
      </c>
      <c r="C249" s="119" t="s">
        <v>340</v>
      </c>
      <c r="D249" s="120" t="s">
        <v>84</v>
      </c>
      <c r="E249" s="114" t="s">
        <v>821</v>
      </c>
      <c r="F249" s="116" t="s">
        <v>855</v>
      </c>
      <c r="G249" s="115"/>
      <c r="H249" s="108"/>
      <c r="I249" s="115"/>
      <c r="J249" s="115"/>
      <c r="K249" s="115"/>
      <c r="L249" s="109">
        <f t="shared" si="3"/>
        <v>0</v>
      </c>
      <c r="M249" s="111" t="s">
        <v>1355</v>
      </c>
      <c r="N249" s="79"/>
      <c r="O249" s="79"/>
      <c r="P249" s="79"/>
      <c r="Q249" s="79"/>
    </row>
    <row r="250" spans="1:17" s="68" customFormat="1" ht="18.75" customHeight="1">
      <c r="A250" s="94">
        <v>226</v>
      </c>
      <c r="B250" s="95" t="s">
        <v>1091</v>
      </c>
      <c r="C250" s="117" t="s">
        <v>208</v>
      </c>
      <c r="D250" s="118" t="s">
        <v>54</v>
      </c>
      <c r="E250" s="94" t="s">
        <v>694</v>
      </c>
      <c r="F250" s="101" t="s">
        <v>855</v>
      </c>
      <c r="G250" s="98">
        <v>8</v>
      </c>
      <c r="H250" s="99">
        <v>8</v>
      </c>
      <c r="I250" s="98">
        <v>7.5</v>
      </c>
      <c r="J250" s="98">
        <v>7</v>
      </c>
      <c r="K250" s="98"/>
      <c r="L250" s="100">
        <f t="shared" si="3"/>
        <v>7.3</v>
      </c>
      <c r="M250" s="92"/>
      <c r="N250" s="65"/>
      <c r="O250" s="65"/>
      <c r="P250" s="65"/>
      <c r="Q250" s="65"/>
    </row>
    <row r="251" spans="1:17" s="68" customFormat="1" ht="18.75" customHeight="1">
      <c r="A251" s="94">
        <v>227</v>
      </c>
      <c r="B251" s="95" t="s">
        <v>1092</v>
      </c>
      <c r="C251" s="117" t="s">
        <v>267</v>
      </c>
      <c r="D251" s="118" t="s">
        <v>419</v>
      </c>
      <c r="E251" s="94" t="s">
        <v>697</v>
      </c>
      <c r="F251" s="101" t="s">
        <v>855</v>
      </c>
      <c r="G251" s="98">
        <v>6</v>
      </c>
      <c r="H251" s="99">
        <v>8</v>
      </c>
      <c r="I251" s="98">
        <v>6</v>
      </c>
      <c r="J251" s="98">
        <v>6</v>
      </c>
      <c r="K251" s="98"/>
      <c r="L251" s="100">
        <f t="shared" si="3"/>
        <v>6.2</v>
      </c>
      <c r="M251" s="92"/>
      <c r="N251" s="65"/>
      <c r="O251" s="65"/>
      <c r="P251" s="65"/>
      <c r="Q251" s="65"/>
    </row>
    <row r="252" spans="1:17" s="64" customFormat="1" ht="18.75" customHeight="1">
      <c r="A252" s="94">
        <v>228</v>
      </c>
      <c r="B252" s="95" t="s">
        <v>1093</v>
      </c>
      <c r="C252" s="117" t="s">
        <v>206</v>
      </c>
      <c r="D252" s="118" t="s">
        <v>57</v>
      </c>
      <c r="E252" s="94" t="s">
        <v>689</v>
      </c>
      <c r="F252" s="101" t="s">
        <v>855</v>
      </c>
      <c r="G252" s="98">
        <v>6</v>
      </c>
      <c r="H252" s="99">
        <v>8</v>
      </c>
      <c r="I252" s="98">
        <v>6</v>
      </c>
      <c r="J252" s="98">
        <v>8</v>
      </c>
      <c r="K252" s="98"/>
      <c r="L252" s="100">
        <f t="shared" si="3"/>
        <v>7.4</v>
      </c>
      <c r="M252" s="92"/>
      <c r="N252" s="65"/>
      <c r="O252" s="65"/>
      <c r="P252" s="65"/>
      <c r="Q252" s="65"/>
    </row>
    <row r="253" spans="1:17" s="64" customFormat="1" ht="18.75" customHeight="1">
      <c r="A253" s="94">
        <v>229</v>
      </c>
      <c r="B253" s="95" t="s">
        <v>1094</v>
      </c>
      <c r="C253" s="117" t="s">
        <v>412</v>
      </c>
      <c r="D253" s="118" t="s">
        <v>58</v>
      </c>
      <c r="E253" s="94" t="s">
        <v>669</v>
      </c>
      <c r="F253" s="101" t="s">
        <v>855</v>
      </c>
      <c r="G253" s="98">
        <v>7</v>
      </c>
      <c r="H253" s="99">
        <v>8</v>
      </c>
      <c r="I253" s="98">
        <v>8</v>
      </c>
      <c r="J253" s="98">
        <v>6</v>
      </c>
      <c r="K253" s="98"/>
      <c r="L253" s="100">
        <f t="shared" si="3"/>
        <v>6.7</v>
      </c>
      <c r="M253" s="92"/>
      <c r="N253" s="65"/>
      <c r="O253" s="65"/>
      <c r="P253" s="65"/>
      <c r="Q253" s="65"/>
    </row>
    <row r="254" spans="1:17" s="64" customFormat="1" ht="18.75" customHeight="1">
      <c r="A254" s="94">
        <v>230</v>
      </c>
      <c r="B254" s="95" t="s">
        <v>1095</v>
      </c>
      <c r="C254" s="117" t="s">
        <v>268</v>
      </c>
      <c r="D254" s="118" t="s">
        <v>89</v>
      </c>
      <c r="E254" s="94" t="s">
        <v>698</v>
      </c>
      <c r="F254" s="101" t="s">
        <v>855</v>
      </c>
      <c r="G254" s="98">
        <v>6</v>
      </c>
      <c r="H254" s="99">
        <v>8</v>
      </c>
      <c r="I254" s="98">
        <v>3.5</v>
      </c>
      <c r="J254" s="98">
        <v>7</v>
      </c>
      <c r="K254" s="98"/>
      <c r="L254" s="100">
        <f t="shared" si="3"/>
        <v>6.3</v>
      </c>
      <c r="M254" s="92"/>
      <c r="N254" s="65"/>
      <c r="O254" s="65"/>
      <c r="P254" s="65"/>
      <c r="Q254" s="65"/>
    </row>
    <row r="255" spans="1:17" s="64" customFormat="1" ht="18.75" customHeight="1">
      <c r="A255" s="94">
        <v>231</v>
      </c>
      <c r="B255" s="95" t="s">
        <v>1096</v>
      </c>
      <c r="C255" s="117" t="s">
        <v>450</v>
      </c>
      <c r="D255" s="118" t="s">
        <v>89</v>
      </c>
      <c r="E255" s="94" t="s">
        <v>818</v>
      </c>
      <c r="F255" s="101" t="s">
        <v>855</v>
      </c>
      <c r="G255" s="98">
        <v>8</v>
      </c>
      <c r="H255" s="99">
        <v>9</v>
      </c>
      <c r="I255" s="98">
        <v>8</v>
      </c>
      <c r="J255" s="98">
        <v>7</v>
      </c>
      <c r="K255" s="98"/>
      <c r="L255" s="100">
        <f t="shared" si="3"/>
        <v>7.5</v>
      </c>
      <c r="M255" s="92"/>
      <c r="N255" s="65"/>
      <c r="O255" s="65"/>
      <c r="P255" s="65"/>
      <c r="Q255" s="65"/>
    </row>
    <row r="256" spans="1:17" s="66" customFormat="1" ht="18.75" customHeight="1">
      <c r="A256" s="114">
        <v>232</v>
      </c>
      <c r="B256" s="105" t="s">
        <v>1097</v>
      </c>
      <c r="C256" s="119" t="s">
        <v>155</v>
      </c>
      <c r="D256" s="120" t="s">
        <v>89</v>
      </c>
      <c r="E256" s="114" t="s">
        <v>675</v>
      </c>
      <c r="F256" s="116" t="s">
        <v>855</v>
      </c>
      <c r="G256" s="115"/>
      <c r="H256" s="108"/>
      <c r="I256" s="115"/>
      <c r="J256" s="115"/>
      <c r="K256" s="115"/>
      <c r="L256" s="109">
        <f t="shared" si="3"/>
        <v>0</v>
      </c>
      <c r="M256" s="111" t="s">
        <v>1346</v>
      </c>
      <c r="N256" s="79"/>
      <c r="O256" s="79"/>
      <c r="P256" s="79"/>
      <c r="Q256" s="79"/>
    </row>
    <row r="257" spans="1:17" s="64" customFormat="1" ht="18.75" customHeight="1">
      <c r="A257" s="94">
        <v>233</v>
      </c>
      <c r="B257" s="95" t="s">
        <v>1098</v>
      </c>
      <c r="C257" s="117" t="s">
        <v>83</v>
      </c>
      <c r="D257" s="118" t="s">
        <v>91</v>
      </c>
      <c r="E257" s="94" t="s">
        <v>680</v>
      </c>
      <c r="F257" s="101" t="s">
        <v>855</v>
      </c>
      <c r="G257" s="98">
        <v>6</v>
      </c>
      <c r="H257" s="99">
        <v>9</v>
      </c>
      <c r="I257" s="98">
        <v>3.5</v>
      </c>
      <c r="J257" s="98">
        <v>7</v>
      </c>
      <c r="K257" s="98"/>
      <c r="L257" s="100">
        <f t="shared" si="3"/>
        <v>6.4</v>
      </c>
      <c r="M257" s="92"/>
      <c r="N257" s="65"/>
      <c r="O257" s="65"/>
      <c r="P257" s="65"/>
      <c r="Q257" s="65"/>
    </row>
    <row r="258" spans="1:17" s="64" customFormat="1" ht="18.75" customHeight="1">
      <c r="A258" s="94">
        <v>234</v>
      </c>
      <c r="B258" s="95" t="s">
        <v>1099</v>
      </c>
      <c r="C258" s="117" t="s">
        <v>261</v>
      </c>
      <c r="D258" s="118" t="s">
        <v>92</v>
      </c>
      <c r="E258" s="94" t="s">
        <v>677</v>
      </c>
      <c r="F258" s="101" t="s">
        <v>855</v>
      </c>
      <c r="G258" s="98">
        <v>6</v>
      </c>
      <c r="H258" s="99">
        <v>8</v>
      </c>
      <c r="I258" s="98">
        <v>6</v>
      </c>
      <c r="J258" s="98">
        <v>7</v>
      </c>
      <c r="K258" s="98"/>
      <c r="L258" s="100">
        <f t="shared" si="3"/>
        <v>6.8</v>
      </c>
      <c r="M258" s="92"/>
      <c r="N258" s="65"/>
      <c r="O258" s="65"/>
      <c r="P258" s="65"/>
      <c r="Q258" s="65"/>
    </row>
    <row r="259" spans="1:17" s="64" customFormat="1" ht="18.75" customHeight="1">
      <c r="A259" s="94">
        <v>235</v>
      </c>
      <c r="B259" s="95" t="s">
        <v>1100</v>
      </c>
      <c r="C259" s="117" t="s">
        <v>262</v>
      </c>
      <c r="D259" s="118" t="s">
        <v>116</v>
      </c>
      <c r="E259" s="94" t="s">
        <v>678</v>
      </c>
      <c r="F259" s="101" t="s">
        <v>855</v>
      </c>
      <c r="G259" s="98">
        <v>6</v>
      </c>
      <c r="H259" s="99">
        <v>8</v>
      </c>
      <c r="I259" s="98">
        <v>3</v>
      </c>
      <c r="J259" s="98">
        <v>6</v>
      </c>
      <c r="K259" s="98"/>
      <c r="L259" s="100">
        <f t="shared" si="3"/>
        <v>5.6</v>
      </c>
      <c r="M259" s="92"/>
      <c r="N259" s="65"/>
      <c r="O259" s="65"/>
      <c r="P259" s="65"/>
      <c r="Q259" s="65"/>
    </row>
    <row r="260" spans="1:17" s="64" customFormat="1" ht="18.75" customHeight="1">
      <c r="A260" s="94">
        <v>236</v>
      </c>
      <c r="B260" s="95" t="s">
        <v>1101</v>
      </c>
      <c r="C260" s="117" t="s">
        <v>262</v>
      </c>
      <c r="D260" s="118" t="s">
        <v>116</v>
      </c>
      <c r="E260" s="94" t="s">
        <v>817</v>
      </c>
      <c r="F260" s="101" t="s">
        <v>855</v>
      </c>
      <c r="G260" s="98">
        <v>7</v>
      </c>
      <c r="H260" s="99">
        <v>9</v>
      </c>
      <c r="I260" s="98">
        <v>7</v>
      </c>
      <c r="J260" s="98">
        <v>9</v>
      </c>
      <c r="K260" s="98"/>
      <c r="L260" s="100">
        <f t="shared" si="3"/>
        <v>8.4</v>
      </c>
      <c r="M260" s="92"/>
      <c r="N260" s="65"/>
      <c r="O260" s="65"/>
      <c r="P260" s="65"/>
      <c r="Q260" s="65"/>
    </row>
    <row r="261" spans="1:17" s="64" customFormat="1" ht="18.75" customHeight="1">
      <c r="A261" s="94">
        <v>237</v>
      </c>
      <c r="B261" s="95" t="s">
        <v>1102</v>
      </c>
      <c r="C261" s="117" t="s">
        <v>414</v>
      </c>
      <c r="D261" s="118" t="s">
        <v>116</v>
      </c>
      <c r="E261" s="94" t="s">
        <v>681</v>
      </c>
      <c r="F261" s="101" t="s">
        <v>855</v>
      </c>
      <c r="G261" s="98">
        <v>6</v>
      </c>
      <c r="H261" s="99">
        <v>8</v>
      </c>
      <c r="I261" s="98">
        <v>3.5</v>
      </c>
      <c r="J261" s="98">
        <v>4</v>
      </c>
      <c r="K261" s="98"/>
      <c r="L261" s="100">
        <f t="shared" si="3"/>
        <v>4.5</v>
      </c>
      <c r="M261" s="92"/>
      <c r="N261" s="65"/>
      <c r="O261" s="65"/>
      <c r="P261" s="65"/>
      <c r="Q261" s="65"/>
    </row>
    <row r="262" spans="1:17" s="64" customFormat="1" ht="18.75" customHeight="1">
      <c r="A262" s="94">
        <v>238</v>
      </c>
      <c r="B262" s="95" t="s">
        <v>1103</v>
      </c>
      <c r="C262" s="117" t="s">
        <v>413</v>
      </c>
      <c r="D262" s="118" t="s">
        <v>132</v>
      </c>
      <c r="E262" s="94" t="s">
        <v>676</v>
      </c>
      <c r="F262" s="101" t="s">
        <v>855</v>
      </c>
      <c r="G262" s="98">
        <v>7</v>
      </c>
      <c r="H262" s="99">
        <v>7</v>
      </c>
      <c r="I262" s="98">
        <v>6.5</v>
      </c>
      <c r="J262" s="98">
        <v>7</v>
      </c>
      <c r="K262" s="98"/>
      <c r="L262" s="100">
        <f t="shared" si="3"/>
        <v>6.9</v>
      </c>
      <c r="M262" s="92"/>
      <c r="N262" s="65"/>
      <c r="O262" s="65"/>
      <c r="P262" s="65"/>
      <c r="Q262" s="65"/>
    </row>
    <row r="263" spans="1:17" s="64" customFormat="1" ht="18.75" customHeight="1">
      <c r="A263" s="94">
        <v>239</v>
      </c>
      <c r="B263" s="95" t="s">
        <v>1104</v>
      </c>
      <c r="C263" s="117" t="s">
        <v>42</v>
      </c>
      <c r="D263" s="118" t="s">
        <v>62</v>
      </c>
      <c r="E263" s="94" t="s">
        <v>682</v>
      </c>
      <c r="F263" s="101" t="s">
        <v>855</v>
      </c>
      <c r="G263" s="98">
        <v>7</v>
      </c>
      <c r="H263" s="99">
        <v>8</v>
      </c>
      <c r="I263" s="98">
        <v>7</v>
      </c>
      <c r="J263" s="98">
        <v>8</v>
      </c>
      <c r="K263" s="98"/>
      <c r="L263" s="100">
        <f t="shared" si="3"/>
        <v>7.7</v>
      </c>
      <c r="M263" s="92"/>
      <c r="N263" s="65"/>
      <c r="O263" s="65"/>
      <c r="P263" s="65"/>
      <c r="Q263" s="65"/>
    </row>
    <row r="264" spans="1:17" s="64" customFormat="1" ht="18.75" customHeight="1">
      <c r="A264" s="94">
        <v>240</v>
      </c>
      <c r="B264" s="95" t="s">
        <v>1105</v>
      </c>
      <c r="C264" s="117" t="s">
        <v>254</v>
      </c>
      <c r="D264" s="118" t="s">
        <v>110</v>
      </c>
      <c r="E264" s="94" t="s">
        <v>683</v>
      </c>
      <c r="F264" s="101" t="s">
        <v>855</v>
      </c>
      <c r="G264" s="98">
        <v>6</v>
      </c>
      <c r="H264" s="99">
        <v>8</v>
      </c>
      <c r="I264" s="98">
        <v>6</v>
      </c>
      <c r="J264" s="98">
        <v>8</v>
      </c>
      <c r="K264" s="98"/>
      <c r="L264" s="100">
        <f t="shared" si="3"/>
        <v>7.4</v>
      </c>
      <c r="M264" s="92"/>
      <c r="N264" s="65"/>
      <c r="O264" s="65"/>
      <c r="P264" s="65"/>
      <c r="Q264" s="65"/>
    </row>
    <row r="265" spans="1:17" s="64" customFormat="1" ht="18.75" customHeight="1">
      <c r="A265" s="94">
        <v>241</v>
      </c>
      <c r="B265" s="95" t="s">
        <v>1106</v>
      </c>
      <c r="C265" s="117" t="s">
        <v>269</v>
      </c>
      <c r="D265" s="118" t="s">
        <v>110</v>
      </c>
      <c r="E265" s="94" t="s">
        <v>699</v>
      </c>
      <c r="F265" s="101" t="s">
        <v>855</v>
      </c>
      <c r="G265" s="98">
        <v>6</v>
      </c>
      <c r="H265" s="99">
        <v>7</v>
      </c>
      <c r="I265" s="98">
        <v>6</v>
      </c>
      <c r="J265" s="98">
        <v>8</v>
      </c>
      <c r="K265" s="98"/>
      <c r="L265" s="100">
        <f t="shared" si="3"/>
        <v>7.3</v>
      </c>
      <c r="M265" s="92"/>
      <c r="N265" s="65"/>
      <c r="O265" s="65"/>
      <c r="P265" s="65"/>
      <c r="Q265" s="65"/>
    </row>
    <row r="266" spans="1:17" s="64" customFormat="1" ht="18.75" customHeight="1">
      <c r="A266" s="94">
        <v>242</v>
      </c>
      <c r="B266" s="95" t="s">
        <v>1107</v>
      </c>
      <c r="C266" s="117" t="s">
        <v>344</v>
      </c>
      <c r="D266" s="118" t="s">
        <v>65</v>
      </c>
      <c r="E266" s="94" t="s">
        <v>843</v>
      </c>
      <c r="F266" s="101" t="s">
        <v>855</v>
      </c>
      <c r="G266" s="98">
        <v>6</v>
      </c>
      <c r="H266" s="99">
        <v>7</v>
      </c>
      <c r="I266" s="98">
        <v>3</v>
      </c>
      <c r="J266" s="98">
        <v>8</v>
      </c>
      <c r="K266" s="98"/>
      <c r="L266" s="100">
        <f t="shared" si="3"/>
        <v>6.7</v>
      </c>
      <c r="M266" s="92"/>
      <c r="N266" s="65"/>
      <c r="O266" s="65"/>
      <c r="P266" s="65"/>
      <c r="Q266" s="65"/>
    </row>
    <row r="267" spans="1:17" s="64" customFormat="1" ht="18.75" customHeight="1">
      <c r="A267" s="94">
        <v>243</v>
      </c>
      <c r="B267" s="95" t="s">
        <v>1108</v>
      </c>
      <c r="C267" s="117" t="s">
        <v>264</v>
      </c>
      <c r="D267" s="118" t="s">
        <v>65</v>
      </c>
      <c r="E267" s="94" t="s">
        <v>466</v>
      </c>
      <c r="F267" s="101" t="s">
        <v>855</v>
      </c>
      <c r="G267" s="98">
        <v>6</v>
      </c>
      <c r="H267" s="99">
        <v>7</v>
      </c>
      <c r="I267" s="98">
        <v>4</v>
      </c>
      <c r="J267" s="98">
        <v>7</v>
      </c>
      <c r="K267" s="98"/>
      <c r="L267" s="100">
        <f t="shared" si="3"/>
        <v>6.3</v>
      </c>
      <c r="M267" s="92"/>
      <c r="N267" s="65"/>
      <c r="O267" s="65"/>
      <c r="P267" s="65"/>
      <c r="Q267" s="65"/>
    </row>
    <row r="268" spans="1:17" s="64" customFormat="1" ht="18.75" customHeight="1">
      <c r="A268" s="94">
        <v>244</v>
      </c>
      <c r="B268" s="95" t="s">
        <v>1109</v>
      </c>
      <c r="C268" s="117" t="s">
        <v>208</v>
      </c>
      <c r="D268" s="118" t="s">
        <v>65</v>
      </c>
      <c r="E268" s="94" t="s">
        <v>690</v>
      </c>
      <c r="F268" s="101" t="s">
        <v>855</v>
      </c>
      <c r="G268" s="98">
        <v>6</v>
      </c>
      <c r="H268" s="99">
        <v>7</v>
      </c>
      <c r="I268" s="98">
        <v>5</v>
      </c>
      <c r="J268" s="98">
        <v>6</v>
      </c>
      <c r="K268" s="98"/>
      <c r="L268" s="100">
        <f t="shared" si="3"/>
        <v>5.9</v>
      </c>
      <c r="M268" s="92"/>
      <c r="N268" s="65"/>
      <c r="O268" s="65"/>
      <c r="P268" s="65"/>
      <c r="Q268" s="65"/>
    </row>
    <row r="269" spans="1:17" s="66" customFormat="1" ht="18.75" customHeight="1">
      <c r="A269" s="114">
        <v>245</v>
      </c>
      <c r="B269" s="105" t="s">
        <v>1110</v>
      </c>
      <c r="C269" s="119" t="s">
        <v>130</v>
      </c>
      <c r="D269" s="120" t="s">
        <v>146</v>
      </c>
      <c r="E269" s="114" t="s">
        <v>693</v>
      </c>
      <c r="F269" s="116" t="s">
        <v>855</v>
      </c>
      <c r="G269" s="115"/>
      <c r="H269" s="108"/>
      <c r="I269" s="115"/>
      <c r="J269" s="115"/>
      <c r="K269" s="115"/>
      <c r="L269" s="109">
        <f t="shared" si="3"/>
        <v>0</v>
      </c>
      <c r="M269" s="111" t="s">
        <v>1346</v>
      </c>
      <c r="N269" s="79"/>
      <c r="O269" s="79"/>
      <c r="P269" s="79"/>
      <c r="Q269" s="79"/>
    </row>
    <row r="270" spans="1:17" s="64" customFormat="1" ht="18.75" customHeight="1">
      <c r="A270" s="94">
        <v>246</v>
      </c>
      <c r="B270" s="95" t="s">
        <v>1111</v>
      </c>
      <c r="C270" s="117" t="s">
        <v>52</v>
      </c>
      <c r="D270" s="118" t="s">
        <v>115</v>
      </c>
      <c r="E270" s="94" t="s">
        <v>794</v>
      </c>
      <c r="F270" s="101" t="s">
        <v>855</v>
      </c>
      <c r="G270" s="98">
        <v>7</v>
      </c>
      <c r="H270" s="99">
        <v>8</v>
      </c>
      <c r="I270" s="98">
        <v>7</v>
      </c>
      <c r="J270" s="98">
        <v>7</v>
      </c>
      <c r="K270" s="98"/>
      <c r="L270" s="100">
        <f t="shared" si="3"/>
        <v>7.1</v>
      </c>
      <c r="M270" s="92"/>
      <c r="N270" s="65"/>
      <c r="O270" s="65"/>
      <c r="P270" s="65"/>
      <c r="Q270" s="65"/>
    </row>
    <row r="271" spans="1:17" s="64" customFormat="1" ht="18.75" customHeight="1">
      <c r="A271" s="94">
        <v>247</v>
      </c>
      <c r="B271" s="95" t="s">
        <v>1112</v>
      </c>
      <c r="C271" s="117" t="s">
        <v>353</v>
      </c>
      <c r="D271" s="118" t="s">
        <v>354</v>
      </c>
      <c r="E271" s="94" t="s">
        <v>608</v>
      </c>
      <c r="F271" s="101" t="s">
        <v>855</v>
      </c>
      <c r="G271" s="98">
        <v>6</v>
      </c>
      <c r="H271" s="99">
        <v>5</v>
      </c>
      <c r="I271" s="98">
        <v>4</v>
      </c>
      <c r="J271" s="98">
        <v>7</v>
      </c>
      <c r="K271" s="98"/>
      <c r="L271" s="100">
        <f t="shared" si="3"/>
        <v>6.1</v>
      </c>
      <c r="M271" s="92"/>
      <c r="N271" s="65"/>
      <c r="O271" s="65"/>
      <c r="P271" s="65"/>
      <c r="Q271" s="65"/>
    </row>
    <row r="272" spans="1:17" s="64" customFormat="1" ht="18.75" customHeight="1">
      <c r="A272" s="94">
        <v>248</v>
      </c>
      <c r="B272" s="95" t="s">
        <v>1113</v>
      </c>
      <c r="C272" s="117" t="s">
        <v>42</v>
      </c>
      <c r="D272" s="118" t="s">
        <v>406</v>
      </c>
      <c r="E272" s="94" t="s">
        <v>691</v>
      </c>
      <c r="F272" s="101" t="s">
        <v>855</v>
      </c>
      <c r="G272" s="98">
        <v>6</v>
      </c>
      <c r="H272" s="99">
        <v>8</v>
      </c>
      <c r="I272" s="98">
        <v>6</v>
      </c>
      <c r="J272" s="98">
        <v>8</v>
      </c>
      <c r="K272" s="98"/>
      <c r="L272" s="100">
        <f t="shared" si="3"/>
        <v>7.4</v>
      </c>
      <c r="M272" s="92"/>
      <c r="N272" s="65"/>
      <c r="O272" s="65"/>
      <c r="P272" s="65"/>
      <c r="Q272" s="65"/>
    </row>
    <row r="273" spans="1:17" s="64" customFormat="1" ht="18.75" customHeight="1">
      <c r="A273" s="94">
        <v>249</v>
      </c>
      <c r="B273" s="95" t="s">
        <v>1114</v>
      </c>
      <c r="C273" s="117" t="s">
        <v>214</v>
      </c>
      <c r="D273" s="118" t="s">
        <v>406</v>
      </c>
      <c r="E273" s="94" t="s">
        <v>684</v>
      </c>
      <c r="F273" s="101" t="s">
        <v>855</v>
      </c>
      <c r="G273" s="98">
        <v>8</v>
      </c>
      <c r="H273" s="99">
        <v>7</v>
      </c>
      <c r="I273" s="98">
        <v>8</v>
      </c>
      <c r="J273" s="98">
        <v>7</v>
      </c>
      <c r="K273" s="98"/>
      <c r="L273" s="100">
        <f t="shared" si="3"/>
        <v>7.3</v>
      </c>
      <c r="M273" s="92"/>
      <c r="N273" s="65"/>
      <c r="O273" s="65"/>
      <c r="P273" s="65"/>
      <c r="Q273" s="65"/>
    </row>
    <row r="274" spans="1:13" s="65" customFormat="1" ht="18.75" customHeight="1">
      <c r="A274" s="112">
        <v>250</v>
      </c>
      <c r="B274" s="95" t="s">
        <v>1115</v>
      </c>
      <c r="C274" s="122" t="s">
        <v>41</v>
      </c>
      <c r="D274" s="123" t="s">
        <v>218</v>
      </c>
      <c r="E274" s="112" t="s">
        <v>672</v>
      </c>
      <c r="F274" s="113" t="s">
        <v>855</v>
      </c>
      <c r="G274" s="99">
        <v>7</v>
      </c>
      <c r="H274" s="99">
        <v>8</v>
      </c>
      <c r="I274" s="99">
        <v>7</v>
      </c>
      <c r="J274" s="99">
        <v>4</v>
      </c>
      <c r="K274" s="99"/>
      <c r="L274" s="100">
        <f t="shared" si="3"/>
        <v>5.3</v>
      </c>
      <c r="M274" s="92"/>
    </row>
    <row r="275" spans="1:17" s="64" customFormat="1" ht="18.75" customHeight="1">
      <c r="A275" s="94">
        <v>251</v>
      </c>
      <c r="B275" s="95" t="s">
        <v>1116</v>
      </c>
      <c r="C275" s="117" t="s">
        <v>41</v>
      </c>
      <c r="D275" s="118" t="s">
        <v>339</v>
      </c>
      <c r="E275" s="94" t="s">
        <v>820</v>
      </c>
      <c r="F275" s="101" t="s">
        <v>855</v>
      </c>
      <c r="G275" s="98">
        <v>6</v>
      </c>
      <c r="H275" s="99">
        <v>7</v>
      </c>
      <c r="I275" s="98">
        <v>6</v>
      </c>
      <c r="J275" s="98">
        <v>3</v>
      </c>
      <c r="K275" s="98"/>
      <c r="L275" s="100">
        <f t="shared" si="3"/>
        <v>4.3</v>
      </c>
      <c r="M275" s="92"/>
      <c r="N275" s="65"/>
      <c r="O275" s="65"/>
      <c r="P275" s="65"/>
      <c r="Q275" s="65"/>
    </row>
    <row r="276" spans="1:17" s="64" customFormat="1" ht="18.75" customHeight="1">
      <c r="A276" s="94">
        <v>252</v>
      </c>
      <c r="B276" s="95" t="s">
        <v>1117</v>
      </c>
      <c r="C276" s="117" t="s">
        <v>415</v>
      </c>
      <c r="D276" s="118" t="s">
        <v>67</v>
      </c>
      <c r="E276" s="94" t="s">
        <v>685</v>
      </c>
      <c r="F276" s="101" t="s">
        <v>855</v>
      </c>
      <c r="G276" s="98">
        <v>9</v>
      </c>
      <c r="H276" s="99">
        <v>7</v>
      </c>
      <c r="I276" s="98">
        <v>9</v>
      </c>
      <c r="J276" s="98">
        <v>7</v>
      </c>
      <c r="K276" s="98"/>
      <c r="L276" s="100">
        <f t="shared" si="3"/>
        <v>7.6</v>
      </c>
      <c r="M276" s="92"/>
      <c r="N276" s="65"/>
      <c r="O276" s="65"/>
      <c r="P276" s="65"/>
      <c r="Q276" s="65"/>
    </row>
    <row r="277" spans="1:17" s="64" customFormat="1" ht="18.75" customHeight="1">
      <c r="A277" s="94">
        <v>253</v>
      </c>
      <c r="B277" s="95" t="s">
        <v>1118</v>
      </c>
      <c r="C277" s="117" t="s">
        <v>263</v>
      </c>
      <c r="D277" s="118" t="s">
        <v>67</v>
      </c>
      <c r="E277" s="94" t="s">
        <v>679</v>
      </c>
      <c r="F277" s="101" t="s">
        <v>855</v>
      </c>
      <c r="G277" s="98">
        <v>7</v>
      </c>
      <c r="H277" s="99">
        <v>7</v>
      </c>
      <c r="I277" s="98">
        <v>7</v>
      </c>
      <c r="J277" s="98">
        <v>6</v>
      </c>
      <c r="K277" s="98"/>
      <c r="L277" s="100">
        <f t="shared" si="3"/>
        <v>6.4</v>
      </c>
      <c r="M277" s="92"/>
      <c r="N277" s="65"/>
      <c r="O277" s="65"/>
      <c r="P277" s="65"/>
      <c r="Q277" s="65"/>
    </row>
    <row r="278" spans="1:17" s="64" customFormat="1" ht="18.75" customHeight="1">
      <c r="A278" s="94">
        <v>254</v>
      </c>
      <c r="B278" s="95" t="s">
        <v>1119</v>
      </c>
      <c r="C278" s="117" t="s">
        <v>317</v>
      </c>
      <c r="D278" s="118" t="s">
        <v>68</v>
      </c>
      <c r="E278" s="94" t="s">
        <v>779</v>
      </c>
      <c r="F278" s="101" t="s">
        <v>855</v>
      </c>
      <c r="G278" s="98">
        <v>6</v>
      </c>
      <c r="H278" s="99">
        <v>5</v>
      </c>
      <c r="I278" s="98">
        <v>6</v>
      </c>
      <c r="J278" s="98">
        <v>6</v>
      </c>
      <c r="K278" s="98"/>
      <c r="L278" s="100">
        <f aca="true" t="shared" si="4" ref="L278:L342">ROUND(G278*$C$11+H278*$C$12+I278*$C$13+J278*$C$14+K278*$C$15,1)</f>
        <v>5.9</v>
      </c>
      <c r="M278" s="92"/>
      <c r="N278" s="65"/>
      <c r="O278" s="65"/>
      <c r="P278" s="65"/>
      <c r="Q278" s="65"/>
    </row>
    <row r="279" spans="1:17" s="64" customFormat="1" ht="18.75" customHeight="1">
      <c r="A279" s="94">
        <v>255</v>
      </c>
      <c r="B279" s="95" t="s">
        <v>1120</v>
      </c>
      <c r="C279" s="117" t="s">
        <v>338</v>
      </c>
      <c r="D279" s="118" t="s">
        <v>119</v>
      </c>
      <c r="E279" s="94" t="s">
        <v>819</v>
      </c>
      <c r="F279" s="101" t="s">
        <v>855</v>
      </c>
      <c r="G279" s="98">
        <v>6</v>
      </c>
      <c r="H279" s="99">
        <v>8</v>
      </c>
      <c r="I279" s="98">
        <v>6</v>
      </c>
      <c r="J279" s="98">
        <v>6</v>
      </c>
      <c r="K279" s="98"/>
      <c r="L279" s="100">
        <f t="shared" si="4"/>
        <v>6.2</v>
      </c>
      <c r="M279" s="92"/>
      <c r="N279" s="65"/>
      <c r="O279" s="65"/>
      <c r="P279" s="65"/>
      <c r="Q279" s="65"/>
    </row>
    <row r="280" spans="1:17" s="66" customFormat="1" ht="18.75" customHeight="1">
      <c r="A280" s="114">
        <v>256</v>
      </c>
      <c r="B280" s="105" t="s">
        <v>1121</v>
      </c>
      <c r="C280" s="119" t="s">
        <v>69</v>
      </c>
      <c r="D280" s="120" t="s">
        <v>119</v>
      </c>
      <c r="E280" s="114" t="s">
        <v>686</v>
      </c>
      <c r="F280" s="116" t="s">
        <v>855</v>
      </c>
      <c r="G280" s="115"/>
      <c r="H280" s="108"/>
      <c r="I280" s="115"/>
      <c r="J280" s="115"/>
      <c r="K280" s="115"/>
      <c r="L280" s="109">
        <f t="shared" si="4"/>
        <v>0</v>
      </c>
      <c r="M280" s="111"/>
      <c r="N280" s="79"/>
      <c r="O280" s="79"/>
      <c r="P280" s="79"/>
      <c r="Q280" s="79"/>
    </row>
    <row r="281" spans="1:17" s="64" customFormat="1" ht="18.75" customHeight="1">
      <c r="A281" s="94">
        <v>257</v>
      </c>
      <c r="B281" s="95" t="s">
        <v>1122</v>
      </c>
      <c r="C281" s="117" t="s">
        <v>229</v>
      </c>
      <c r="D281" s="118" t="s">
        <v>137</v>
      </c>
      <c r="E281" s="94" t="s">
        <v>687</v>
      </c>
      <c r="F281" s="101" t="s">
        <v>855</v>
      </c>
      <c r="G281" s="98">
        <v>7</v>
      </c>
      <c r="H281" s="99">
        <v>8</v>
      </c>
      <c r="I281" s="98">
        <v>6.5</v>
      </c>
      <c r="J281" s="98">
        <v>8</v>
      </c>
      <c r="K281" s="98"/>
      <c r="L281" s="100">
        <f t="shared" si="4"/>
        <v>7.6</v>
      </c>
      <c r="M281" s="92"/>
      <c r="N281" s="65"/>
      <c r="O281" s="65"/>
      <c r="P281" s="65"/>
      <c r="Q281" s="65"/>
    </row>
    <row r="282" spans="1:17" s="64" customFormat="1" ht="18.75" customHeight="1">
      <c r="A282" s="94">
        <v>258</v>
      </c>
      <c r="B282" s="95" t="s">
        <v>1123</v>
      </c>
      <c r="C282" s="117" t="s">
        <v>455</v>
      </c>
      <c r="D282" s="118" t="s">
        <v>102</v>
      </c>
      <c r="E282" s="94" t="s">
        <v>844</v>
      </c>
      <c r="F282" s="101" t="s">
        <v>855</v>
      </c>
      <c r="G282" s="98">
        <v>6</v>
      </c>
      <c r="H282" s="99">
        <v>6</v>
      </c>
      <c r="I282" s="98">
        <v>3</v>
      </c>
      <c r="J282" s="98">
        <v>6</v>
      </c>
      <c r="K282" s="98"/>
      <c r="L282" s="100">
        <f t="shared" si="4"/>
        <v>5.4</v>
      </c>
      <c r="M282" s="92"/>
      <c r="N282" s="65"/>
      <c r="O282" s="65"/>
      <c r="P282" s="65"/>
      <c r="Q282" s="65"/>
    </row>
    <row r="283" spans="1:17" s="64" customFormat="1" ht="18.75" customHeight="1">
      <c r="A283" s="94">
        <v>259</v>
      </c>
      <c r="B283" s="95" t="s">
        <v>1124</v>
      </c>
      <c r="C283" s="117" t="s">
        <v>257</v>
      </c>
      <c r="D283" s="118" t="s">
        <v>104</v>
      </c>
      <c r="E283" s="94" t="s">
        <v>671</v>
      </c>
      <c r="F283" s="101" t="s">
        <v>855</v>
      </c>
      <c r="G283" s="98">
        <v>6</v>
      </c>
      <c r="H283" s="99">
        <v>7</v>
      </c>
      <c r="I283" s="98">
        <v>3.5</v>
      </c>
      <c r="J283" s="98">
        <v>6</v>
      </c>
      <c r="K283" s="98"/>
      <c r="L283" s="100">
        <f t="shared" si="4"/>
        <v>5.6</v>
      </c>
      <c r="M283" s="92"/>
      <c r="N283" s="65"/>
      <c r="O283" s="65"/>
      <c r="P283" s="65"/>
      <c r="Q283" s="65"/>
    </row>
    <row r="284" spans="1:17" s="64" customFormat="1" ht="18.75" customHeight="1">
      <c r="A284" s="94">
        <v>260</v>
      </c>
      <c r="B284" s="95" t="s">
        <v>1125</v>
      </c>
      <c r="C284" s="117" t="s">
        <v>270</v>
      </c>
      <c r="D284" s="118" t="s">
        <v>72</v>
      </c>
      <c r="E284" s="94" t="s">
        <v>700</v>
      </c>
      <c r="F284" s="101" t="s">
        <v>855</v>
      </c>
      <c r="G284" s="98">
        <v>6</v>
      </c>
      <c r="H284" s="99">
        <v>6</v>
      </c>
      <c r="I284" s="98">
        <v>6</v>
      </c>
      <c r="J284" s="98">
        <v>8</v>
      </c>
      <c r="K284" s="98"/>
      <c r="L284" s="100">
        <f t="shared" si="4"/>
        <v>7.2</v>
      </c>
      <c r="M284" s="92"/>
      <c r="N284" s="65"/>
      <c r="O284" s="65"/>
      <c r="P284" s="65"/>
      <c r="Q284" s="65"/>
    </row>
    <row r="285" spans="1:17" s="64" customFormat="1" ht="18.75" customHeight="1">
      <c r="A285" s="94">
        <v>261</v>
      </c>
      <c r="B285" s="95" t="s">
        <v>1126</v>
      </c>
      <c r="C285" s="117" t="s">
        <v>416</v>
      </c>
      <c r="D285" s="118" t="s">
        <v>417</v>
      </c>
      <c r="E285" s="94" t="s">
        <v>695</v>
      </c>
      <c r="F285" s="101" t="s">
        <v>855</v>
      </c>
      <c r="G285" s="98">
        <v>8</v>
      </c>
      <c r="H285" s="99">
        <v>5</v>
      </c>
      <c r="I285" s="98">
        <v>7.5</v>
      </c>
      <c r="J285" s="98">
        <v>9</v>
      </c>
      <c r="K285" s="98"/>
      <c r="L285" s="100">
        <f t="shared" si="4"/>
        <v>8.2</v>
      </c>
      <c r="M285" s="92"/>
      <c r="N285" s="65"/>
      <c r="O285" s="65"/>
      <c r="P285" s="65"/>
      <c r="Q285" s="65"/>
    </row>
    <row r="286" spans="1:17" s="66" customFormat="1" ht="18.75" customHeight="1">
      <c r="A286" s="114">
        <v>262</v>
      </c>
      <c r="B286" s="105" t="s">
        <v>1127</v>
      </c>
      <c r="C286" s="119" t="s">
        <v>258</v>
      </c>
      <c r="D286" s="120" t="s">
        <v>408</v>
      </c>
      <c r="E286" s="114" t="s">
        <v>673</v>
      </c>
      <c r="F286" s="116" t="s">
        <v>855</v>
      </c>
      <c r="G286" s="115"/>
      <c r="H286" s="108"/>
      <c r="I286" s="115"/>
      <c r="J286" s="115"/>
      <c r="K286" s="115"/>
      <c r="L286" s="109">
        <f t="shared" si="4"/>
        <v>0</v>
      </c>
      <c r="M286" s="111"/>
      <c r="N286" s="79"/>
      <c r="O286" s="79"/>
      <c r="P286" s="79"/>
      <c r="Q286" s="79"/>
    </row>
    <row r="287" spans="1:17" s="64" customFormat="1" ht="18.75" customHeight="1">
      <c r="A287" s="94">
        <v>263</v>
      </c>
      <c r="B287" s="95" t="s">
        <v>1128</v>
      </c>
      <c r="C287" s="117" t="s">
        <v>147</v>
      </c>
      <c r="D287" s="118" t="s">
        <v>105</v>
      </c>
      <c r="E287" s="94" t="s">
        <v>499</v>
      </c>
      <c r="F287" s="101" t="s">
        <v>855</v>
      </c>
      <c r="G287" s="98">
        <v>8</v>
      </c>
      <c r="H287" s="99">
        <v>8</v>
      </c>
      <c r="I287" s="98">
        <v>7.5</v>
      </c>
      <c r="J287" s="98">
        <v>7</v>
      </c>
      <c r="K287" s="98"/>
      <c r="L287" s="100">
        <f t="shared" si="4"/>
        <v>7.3</v>
      </c>
      <c r="M287" s="92"/>
      <c r="N287" s="65"/>
      <c r="O287" s="65"/>
      <c r="P287" s="65"/>
      <c r="Q287" s="65"/>
    </row>
    <row r="288" spans="1:17" s="64" customFormat="1" ht="18.75" customHeight="1">
      <c r="A288" s="94">
        <v>264</v>
      </c>
      <c r="B288" s="95" t="s">
        <v>1129</v>
      </c>
      <c r="C288" s="117" t="s">
        <v>265</v>
      </c>
      <c r="D288" s="118" t="s">
        <v>105</v>
      </c>
      <c r="E288" s="94" t="s">
        <v>688</v>
      </c>
      <c r="F288" s="101" t="s">
        <v>855</v>
      </c>
      <c r="G288" s="98">
        <v>6</v>
      </c>
      <c r="H288" s="99">
        <v>4</v>
      </c>
      <c r="I288" s="98">
        <v>5</v>
      </c>
      <c r="J288" s="98">
        <v>7</v>
      </c>
      <c r="K288" s="98"/>
      <c r="L288" s="100">
        <f t="shared" si="4"/>
        <v>6.2</v>
      </c>
      <c r="M288" s="92"/>
      <c r="N288" s="65"/>
      <c r="O288" s="65"/>
      <c r="P288" s="65"/>
      <c r="Q288" s="65"/>
    </row>
    <row r="289" spans="1:17" s="64" customFormat="1" ht="18.75" customHeight="1">
      <c r="A289" s="94">
        <v>265</v>
      </c>
      <c r="B289" s="95" t="s">
        <v>1130</v>
      </c>
      <c r="C289" s="117" t="s">
        <v>351</v>
      </c>
      <c r="D289" s="118" t="s">
        <v>352</v>
      </c>
      <c r="E289" s="94" t="s">
        <v>731</v>
      </c>
      <c r="F289" s="101" t="s">
        <v>855</v>
      </c>
      <c r="G289" s="98">
        <v>6</v>
      </c>
      <c r="H289" s="99">
        <v>8</v>
      </c>
      <c r="I289" s="98">
        <v>3.5</v>
      </c>
      <c r="J289" s="98">
        <v>8</v>
      </c>
      <c r="K289" s="98"/>
      <c r="L289" s="100">
        <f t="shared" si="4"/>
        <v>6.9</v>
      </c>
      <c r="M289" s="92"/>
      <c r="N289" s="65"/>
      <c r="O289" s="65"/>
      <c r="P289" s="65"/>
      <c r="Q289" s="65"/>
    </row>
    <row r="290" spans="1:17" s="64" customFormat="1" ht="18.75" customHeight="1">
      <c r="A290" s="94">
        <v>266</v>
      </c>
      <c r="B290" s="95" t="s">
        <v>1131</v>
      </c>
      <c r="C290" s="117" t="s">
        <v>425</v>
      </c>
      <c r="D290" s="118" t="s">
        <v>37</v>
      </c>
      <c r="E290" s="94" t="s">
        <v>721</v>
      </c>
      <c r="F290" s="101" t="s">
        <v>1328</v>
      </c>
      <c r="G290" s="98">
        <v>6</v>
      </c>
      <c r="H290" s="99">
        <v>6</v>
      </c>
      <c r="I290" s="98">
        <v>6</v>
      </c>
      <c r="J290" s="98">
        <v>9</v>
      </c>
      <c r="K290" s="98"/>
      <c r="L290" s="100">
        <f t="shared" si="4"/>
        <v>7.8</v>
      </c>
      <c r="M290" s="92"/>
      <c r="N290" s="65"/>
      <c r="O290" s="65"/>
      <c r="P290" s="65"/>
      <c r="Q290" s="65"/>
    </row>
    <row r="291" spans="1:17" s="64" customFormat="1" ht="18.75" customHeight="1">
      <c r="A291" s="94">
        <v>267</v>
      </c>
      <c r="B291" s="95" t="s">
        <v>1132</v>
      </c>
      <c r="C291" s="117" t="s">
        <v>424</v>
      </c>
      <c r="D291" s="118" t="s">
        <v>37</v>
      </c>
      <c r="E291" s="94" t="s">
        <v>699</v>
      </c>
      <c r="F291" s="101" t="s">
        <v>1328</v>
      </c>
      <c r="G291" s="98">
        <v>6</v>
      </c>
      <c r="H291" s="99">
        <v>8</v>
      </c>
      <c r="I291" s="98">
        <v>5</v>
      </c>
      <c r="J291" s="98">
        <v>3</v>
      </c>
      <c r="K291" s="98"/>
      <c r="L291" s="100">
        <f t="shared" si="4"/>
        <v>4.2</v>
      </c>
      <c r="M291" s="92"/>
      <c r="N291" s="65"/>
      <c r="O291" s="65"/>
      <c r="P291" s="65"/>
      <c r="Q291" s="65"/>
    </row>
    <row r="292" spans="1:17" s="64" customFormat="1" ht="18.75" customHeight="1">
      <c r="A292" s="94">
        <v>268</v>
      </c>
      <c r="B292" s="95" t="s">
        <v>1133</v>
      </c>
      <c r="C292" s="117" t="s">
        <v>426</v>
      </c>
      <c r="D292" s="118" t="s">
        <v>427</v>
      </c>
      <c r="E292" s="94" t="s">
        <v>722</v>
      </c>
      <c r="F292" s="101" t="s">
        <v>1328</v>
      </c>
      <c r="G292" s="98">
        <v>6</v>
      </c>
      <c r="H292" s="99">
        <v>8</v>
      </c>
      <c r="I292" s="98">
        <v>1</v>
      </c>
      <c r="J292" s="98">
        <v>7</v>
      </c>
      <c r="K292" s="98"/>
      <c r="L292" s="100">
        <f t="shared" si="4"/>
        <v>5.8</v>
      </c>
      <c r="M292" s="92"/>
      <c r="N292" s="65"/>
      <c r="O292" s="65"/>
      <c r="P292" s="65"/>
      <c r="Q292" s="65"/>
    </row>
    <row r="293" spans="1:17" s="64" customFormat="1" ht="18.75" customHeight="1">
      <c r="A293" s="94">
        <v>269</v>
      </c>
      <c r="B293" s="95" t="s">
        <v>1134</v>
      </c>
      <c r="C293" s="117" t="s">
        <v>61</v>
      </c>
      <c r="D293" s="118" t="s">
        <v>77</v>
      </c>
      <c r="E293" s="94" t="s">
        <v>720</v>
      </c>
      <c r="F293" s="101" t="s">
        <v>1328</v>
      </c>
      <c r="G293" s="128"/>
      <c r="H293" s="99">
        <v>8</v>
      </c>
      <c r="I293" s="98">
        <v>0</v>
      </c>
      <c r="J293" s="98">
        <v>5</v>
      </c>
      <c r="K293" s="98"/>
      <c r="L293" s="100">
        <f t="shared" si="4"/>
        <v>3.8</v>
      </c>
      <c r="M293" s="92" t="s">
        <v>1356</v>
      </c>
      <c r="N293" s="65"/>
      <c r="O293" s="65"/>
      <c r="P293" s="65"/>
      <c r="Q293" s="65"/>
    </row>
    <row r="294" spans="1:17" s="64" customFormat="1" ht="18.75" customHeight="1">
      <c r="A294" s="94">
        <v>270</v>
      </c>
      <c r="B294" s="95" t="s">
        <v>1135</v>
      </c>
      <c r="C294" s="117" t="s">
        <v>400</v>
      </c>
      <c r="D294" s="118" t="s">
        <v>47</v>
      </c>
      <c r="E294" s="94" t="s">
        <v>795</v>
      </c>
      <c r="F294" s="101" t="s">
        <v>1328</v>
      </c>
      <c r="G294" s="98">
        <v>7</v>
      </c>
      <c r="H294" s="99">
        <v>9</v>
      </c>
      <c r="I294" s="98">
        <v>7</v>
      </c>
      <c r="J294" s="98">
        <v>7</v>
      </c>
      <c r="K294" s="98"/>
      <c r="L294" s="100">
        <f t="shared" si="4"/>
        <v>7.2</v>
      </c>
      <c r="M294" s="92"/>
      <c r="N294" s="65"/>
      <c r="O294" s="65"/>
      <c r="P294" s="65"/>
      <c r="Q294" s="65"/>
    </row>
    <row r="295" spans="1:17" s="64" customFormat="1" ht="18.75" customHeight="1">
      <c r="A295" s="94">
        <v>271</v>
      </c>
      <c r="B295" s="95" t="s">
        <v>1136</v>
      </c>
      <c r="C295" s="117" t="s">
        <v>272</v>
      </c>
      <c r="D295" s="118" t="s">
        <v>47</v>
      </c>
      <c r="E295" s="94" t="s">
        <v>706</v>
      </c>
      <c r="F295" s="101" t="s">
        <v>1328</v>
      </c>
      <c r="G295" s="98">
        <v>6</v>
      </c>
      <c r="H295" s="99">
        <v>8</v>
      </c>
      <c r="I295" s="98">
        <v>6</v>
      </c>
      <c r="J295" s="98">
        <v>5</v>
      </c>
      <c r="K295" s="98"/>
      <c r="L295" s="100">
        <f t="shared" si="4"/>
        <v>5.6</v>
      </c>
      <c r="M295" s="92"/>
      <c r="N295" s="65"/>
      <c r="O295" s="65"/>
      <c r="P295" s="65"/>
      <c r="Q295" s="65"/>
    </row>
    <row r="296" spans="1:17" s="64" customFormat="1" ht="18.75" customHeight="1">
      <c r="A296" s="94">
        <v>272</v>
      </c>
      <c r="B296" s="95" t="s">
        <v>1137</v>
      </c>
      <c r="C296" s="117" t="s">
        <v>275</v>
      </c>
      <c r="D296" s="118" t="s">
        <v>47</v>
      </c>
      <c r="E296" s="94" t="s">
        <v>712</v>
      </c>
      <c r="F296" s="101" t="s">
        <v>1328</v>
      </c>
      <c r="G296" s="98">
        <v>6</v>
      </c>
      <c r="H296" s="99">
        <v>7</v>
      </c>
      <c r="I296" s="98">
        <v>3.5</v>
      </c>
      <c r="J296" s="98">
        <v>7</v>
      </c>
      <c r="K296" s="98"/>
      <c r="L296" s="100">
        <f t="shared" si="4"/>
        <v>6.2</v>
      </c>
      <c r="M296" s="92"/>
      <c r="N296" s="65"/>
      <c r="O296" s="65"/>
      <c r="P296" s="65"/>
      <c r="Q296" s="65"/>
    </row>
    <row r="297" spans="1:17" s="66" customFormat="1" ht="18.75" customHeight="1">
      <c r="A297" s="114">
        <v>273</v>
      </c>
      <c r="B297" s="105" t="s">
        <v>1138</v>
      </c>
      <c r="C297" s="119" t="s">
        <v>276</v>
      </c>
      <c r="D297" s="120" t="s">
        <v>48</v>
      </c>
      <c r="E297" s="114" t="s">
        <v>713</v>
      </c>
      <c r="F297" s="116" t="s">
        <v>1328</v>
      </c>
      <c r="G297" s="115"/>
      <c r="H297" s="108"/>
      <c r="I297" s="115"/>
      <c r="J297" s="115"/>
      <c r="K297" s="115"/>
      <c r="L297" s="109">
        <f t="shared" si="4"/>
        <v>0</v>
      </c>
      <c r="M297" s="111" t="s">
        <v>1342</v>
      </c>
      <c r="N297" s="79"/>
      <c r="O297" s="79"/>
      <c r="P297" s="79"/>
      <c r="Q297" s="79"/>
    </row>
    <row r="298" spans="1:13" s="79" customFormat="1" ht="18.75" customHeight="1">
      <c r="A298" s="104">
        <v>274</v>
      </c>
      <c r="B298" s="105" t="s">
        <v>1139</v>
      </c>
      <c r="C298" s="131" t="s">
        <v>41</v>
      </c>
      <c r="D298" s="132" t="s">
        <v>49</v>
      </c>
      <c r="E298" s="104" t="s">
        <v>703</v>
      </c>
      <c r="F298" s="110" t="s">
        <v>1328</v>
      </c>
      <c r="G298" s="108"/>
      <c r="H298" s="108"/>
      <c r="I298" s="108"/>
      <c r="J298" s="108"/>
      <c r="K298" s="108"/>
      <c r="L298" s="109">
        <f t="shared" si="4"/>
        <v>0</v>
      </c>
      <c r="M298" s="111" t="s">
        <v>1342</v>
      </c>
    </row>
    <row r="299" spans="1:17" s="64" customFormat="1" ht="18.75" customHeight="1">
      <c r="A299" s="94">
        <v>275</v>
      </c>
      <c r="B299" s="95" t="s">
        <v>1140</v>
      </c>
      <c r="C299" s="117" t="s">
        <v>422</v>
      </c>
      <c r="D299" s="118" t="s">
        <v>84</v>
      </c>
      <c r="E299" s="94" t="s">
        <v>714</v>
      </c>
      <c r="F299" s="101" t="s">
        <v>1328</v>
      </c>
      <c r="G299" s="98">
        <v>7</v>
      </c>
      <c r="H299" s="99">
        <v>8</v>
      </c>
      <c r="I299" s="98">
        <v>7</v>
      </c>
      <c r="J299" s="98">
        <v>7</v>
      </c>
      <c r="K299" s="98"/>
      <c r="L299" s="100">
        <f t="shared" si="4"/>
        <v>7.1</v>
      </c>
      <c r="M299" s="92"/>
      <c r="N299" s="65"/>
      <c r="O299" s="65"/>
      <c r="P299" s="65"/>
      <c r="Q299" s="65"/>
    </row>
    <row r="300" spans="1:17" s="64" customFormat="1" ht="18.75" customHeight="1">
      <c r="A300" s="94">
        <v>276</v>
      </c>
      <c r="B300" s="95" t="s">
        <v>1141</v>
      </c>
      <c r="C300" s="117" t="s">
        <v>314</v>
      </c>
      <c r="D300" s="118" t="s">
        <v>57</v>
      </c>
      <c r="E300" s="94" t="s">
        <v>796</v>
      </c>
      <c r="F300" s="101" t="s">
        <v>1328</v>
      </c>
      <c r="G300" s="98">
        <v>6</v>
      </c>
      <c r="H300" s="99">
        <v>8</v>
      </c>
      <c r="I300" s="98">
        <v>3.5</v>
      </c>
      <c r="J300" s="98">
        <v>5</v>
      </c>
      <c r="K300" s="98"/>
      <c r="L300" s="100">
        <f t="shared" si="4"/>
        <v>5.1</v>
      </c>
      <c r="M300" s="92"/>
      <c r="N300" s="65"/>
      <c r="O300" s="65"/>
      <c r="P300" s="65"/>
      <c r="Q300" s="65"/>
    </row>
    <row r="301" spans="1:17" s="64" customFormat="1" ht="18.75" customHeight="1">
      <c r="A301" s="94">
        <v>277</v>
      </c>
      <c r="B301" s="95" t="s">
        <v>1142</v>
      </c>
      <c r="C301" s="117" t="s">
        <v>420</v>
      </c>
      <c r="D301" s="118" t="s">
        <v>58</v>
      </c>
      <c r="E301" s="94" t="s">
        <v>707</v>
      </c>
      <c r="F301" s="101" t="s">
        <v>1328</v>
      </c>
      <c r="G301" s="98">
        <v>7</v>
      </c>
      <c r="H301" s="99">
        <v>8</v>
      </c>
      <c r="I301" s="98">
        <v>7</v>
      </c>
      <c r="J301" s="98">
        <v>5</v>
      </c>
      <c r="K301" s="98"/>
      <c r="L301" s="100">
        <f t="shared" si="4"/>
        <v>5.9</v>
      </c>
      <c r="M301" s="92"/>
      <c r="N301" s="65"/>
      <c r="O301" s="65"/>
      <c r="P301" s="65"/>
      <c r="Q301" s="65"/>
    </row>
    <row r="302" spans="1:17" s="64" customFormat="1" ht="18.75" customHeight="1">
      <c r="A302" s="94">
        <v>279</v>
      </c>
      <c r="B302" s="95" t="s">
        <v>1144</v>
      </c>
      <c r="C302" s="117" t="s">
        <v>163</v>
      </c>
      <c r="D302" s="118" t="s">
        <v>60</v>
      </c>
      <c r="E302" s="94" t="s">
        <v>710</v>
      </c>
      <c r="F302" s="101" t="s">
        <v>1328</v>
      </c>
      <c r="G302" s="98">
        <v>6</v>
      </c>
      <c r="H302" s="99">
        <v>8</v>
      </c>
      <c r="I302" s="98">
        <v>5.5</v>
      </c>
      <c r="J302" s="98">
        <v>6</v>
      </c>
      <c r="K302" s="98"/>
      <c r="L302" s="100">
        <f t="shared" si="4"/>
        <v>6.1</v>
      </c>
      <c r="M302" s="92"/>
      <c r="N302" s="65"/>
      <c r="O302" s="65"/>
      <c r="P302" s="65"/>
      <c r="Q302" s="65"/>
    </row>
    <row r="303" spans="1:17" s="64" customFormat="1" ht="18.75" customHeight="1">
      <c r="A303" s="94">
        <v>280</v>
      </c>
      <c r="B303" s="95" t="s">
        <v>1145</v>
      </c>
      <c r="C303" s="117" t="s">
        <v>163</v>
      </c>
      <c r="D303" s="118" t="s">
        <v>60</v>
      </c>
      <c r="E303" s="94" t="s">
        <v>715</v>
      </c>
      <c r="F303" s="101" t="s">
        <v>1328</v>
      </c>
      <c r="G303" s="98">
        <v>6</v>
      </c>
      <c r="H303" s="99">
        <v>0</v>
      </c>
      <c r="I303" s="98">
        <v>2</v>
      </c>
      <c r="J303" s="98">
        <v>0</v>
      </c>
      <c r="K303" s="98"/>
      <c r="L303" s="100">
        <f t="shared" si="4"/>
        <v>1</v>
      </c>
      <c r="M303" s="92" t="s">
        <v>1357</v>
      </c>
      <c r="N303" s="65"/>
      <c r="O303" s="65"/>
      <c r="P303" s="65"/>
      <c r="Q303" s="65"/>
    </row>
    <row r="304" spans="1:17" s="64" customFormat="1" ht="18.75" customHeight="1">
      <c r="A304" s="94">
        <v>281</v>
      </c>
      <c r="B304" s="95" t="s">
        <v>1146</v>
      </c>
      <c r="C304" s="117" t="s">
        <v>423</v>
      </c>
      <c r="D304" s="118" t="s">
        <v>277</v>
      </c>
      <c r="E304" s="94" t="s">
        <v>716</v>
      </c>
      <c r="F304" s="101" t="s">
        <v>1328</v>
      </c>
      <c r="G304" s="98">
        <v>6</v>
      </c>
      <c r="H304" s="99">
        <v>0</v>
      </c>
      <c r="I304" s="98">
        <v>5.5</v>
      </c>
      <c r="J304" s="98">
        <v>0</v>
      </c>
      <c r="K304" s="98"/>
      <c r="L304" s="100">
        <f t="shared" si="4"/>
        <v>1.7</v>
      </c>
      <c r="M304" s="92" t="s">
        <v>1357</v>
      </c>
      <c r="N304" s="65"/>
      <c r="O304" s="65"/>
      <c r="P304" s="65"/>
      <c r="Q304" s="65"/>
    </row>
    <row r="305" spans="1:17" s="64" customFormat="1" ht="18.75" customHeight="1">
      <c r="A305" s="94">
        <v>282</v>
      </c>
      <c r="B305" s="95" t="s">
        <v>1147</v>
      </c>
      <c r="C305" s="117" t="s">
        <v>274</v>
      </c>
      <c r="D305" s="118" t="s">
        <v>62</v>
      </c>
      <c r="E305" s="94" t="s">
        <v>711</v>
      </c>
      <c r="F305" s="101" t="s">
        <v>1328</v>
      </c>
      <c r="G305" s="98">
        <v>6</v>
      </c>
      <c r="H305" s="99">
        <v>6</v>
      </c>
      <c r="I305" s="98">
        <v>5</v>
      </c>
      <c r="J305" s="98">
        <v>7</v>
      </c>
      <c r="K305" s="98"/>
      <c r="L305" s="100">
        <f t="shared" si="4"/>
        <v>6.4</v>
      </c>
      <c r="M305" s="92"/>
      <c r="N305" s="65"/>
      <c r="O305" s="65"/>
      <c r="P305" s="65"/>
      <c r="Q305" s="65"/>
    </row>
    <row r="306" spans="1:17" s="64" customFormat="1" ht="18.75" customHeight="1">
      <c r="A306" s="94">
        <v>283</v>
      </c>
      <c r="B306" s="95" t="s">
        <v>1148</v>
      </c>
      <c r="C306" s="117" t="s">
        <v>41</v>
      </c>
      <c r="D306" s="118" t="s">
        <v>62</v>
      </c>
      <c r="E306" s="94" t="s">
        <v>709</v>
      </c>
      <c r="F306" s="101" t="s">
        <v>1328</v>
      </c>
      <c r="G306" s="98">
        <v>6</v>
      </c>
      <c r="H306" s="99">
        <v>8</v>
      </c>
      <c r="I306" s="98">
        <v>6</v>
      </c>
      <c r="J306" s="98">
        <v>6</v>
      </c>
      <c r="K306" s="98"/>
      <c r="L306" s="100">
        <f t="shared" si="4"/>
        <v>6.2</v>
      </c>
      <c r="M306" s="92"/>
      <c r="N306" s="65"/>
      <c r="O306" s="65"/>
      <c r="P306" s="65"/>
      <c r="Q306" s="65"/>
    </row>
    <row r="307" spans="1:17" s="64" customFormat="1" ht="18.75" customHeight="1">
      <c r="A307" s="94">
        <v>284</v>
      </c>
      <c r="B307" s="95" t="s">
        <v>1149</v>
      </c>
      <c r="C307" s="117" t="s">
        <v>205</v>
      </c>
      <c r="D307" s="118" t="s">
        <v>410</v>
      </c>
      <c r="E307" s="94" t="s">
        <v>717</v>
      </c>
      <c r="F307" s="101" t="s">
        <v>1328</v>
      </c>
      <c r="G307" s="98">
        <v>6</v>
      </c>
      <c r="H307" s="99">
        <v>6</v>
      </c>
      <c r="I307" s="98">
        <v>6</v>
      </c>
      <c r="J307" s="98">
        <v>4</v>
      </c>
      <c r="K307" s="98"/>
      <c r="L307" s="100">
        <f t="shared" si="4"/>
        <v>4.8</v>
      </c>
      <c r="M307" s="92"/>
      <c r="N307" s="65"/>
      <c r="O307" s="65"/>
      <c r="P307" s="65"/>
      <c r="Q307" s="65"/>
    </row>
    <row r="308" spans="1:17" s="64" customFormat="1" ht="18.75" customHeight="1">
      <c r="A308" s="94">
        <v>285</v>
      </c>
      <c r="B308" s="95" t="s">
        <v>1150</v>
      </c>
      <c r="C308" s="117" t="s">
        <v>279</v>
      </c>
      <c r="D308" s="118" t="s">
        <v>178</v>
      </c>
      <c r="E308" s="94" t="s">
        <v>719</v>
      </c>
      <c r="F308" s="101" t="s">
        <v>1328</v>
      </c>
      <c r="G308" s="98">
        <v>6</v>
      </c>
      <c r="H308" s="99">
        <v>8</v>
      </c>
      <c r="I308" s="98">
        <v>6</v>
      </c>
      <c r="J308" s="98">
        <v>6</v>
      </c>
      <c r="K308" s="98"/>
      <c r="L308" s="100">
        <f t="shared" si="4"/>
        <v>6.2</v>
      </c>
      <c r="M308" s="92"/>
      <c r="N308" s="65"/>
      <c r="O308" s="65"/>
      <c r="P308" s="65"/>
      <c r="Q308" s="65"/>
    </row>
    <row r="309" spans="1:17" s="64" customFormat="1" ht="18.75" customHeight="1">
      <c r="A309" s="94">
        <v>286</v>
      </c>
      <c r="B309" s="95" t="s">
        <v>1151</v>
      </c>
      <c r="C309" s="117" t="s">
        <v>271</v>
      </c>
      <c r="D309" s="118" t="s">
        <v>146</v>
      </c>
      <c r="E309" s="94" t="s">
        <v>705</v>
      </c>
      <c r="F309" s="101" t="s">
        <v>1328</v>
      </c>
      <c r="G309" s="98">
        <v>6</v>
      </c>
      <c r="H309" s="99">
        <v>7</v>
      </c>
      <c r="I309" s="98">
        <v>5</v>
      </c>
      <c r="J309" s="98">
        <v>6</v>
      </c>
      <c r="K309" s="98"/>
      <c r="L309" s="100">
        <f t="shared" si="4"/>
        <v>5.9</v>
      </c>
      <c r="M309" s="92"/>
      <c r="N309" s="65"/>
      <c r="O309" s="65"/>
      <c r="P309" s="65"/>
      <c r="Q309" s="65"/>
    </row>
    <row r="310" spans="1:17" s="64" customFormat="1" ht="18.75" customHeight="1">
      <c r="A310" s="94">
        <v>287</v>
      </c>
      <c r="B310" s="95" t="s">
        <v>1152</v>
      </c>
      <c r="C310" s="117" t="s">
        <v>269</v>
      </c>
      <c r="D310" s="118" t="s">
        <v>115</v>
      </c>
      <c r="E310" s="94" t="s">
        <v>704</v>
      </c>
      <c r="F310" s="101" t="s">
        <v>1328</v>
      </c>
      <c r="G310" s="98">
        <v>7</v>
      </c>
      <c r="H310" s="99">
        <v>10</v>
      </c>
      <c r="I310" s="98">
        <v>7</v>
      </c>
      <c r="J310" s="98">
        <v>9</v>
      </c>
      <c r="K310" s="98"/>
      <c r="L310" s="100">
        <f t="shared" si="4"/>
        <v>8.5</v>
      </c>
      <c r="M310" s="92"/>
      <c r="N310" s="65"/>
      <c r="O310" s="65"/>
      <c r="P310" s="65"/>
      <c r="Q310" s="65"/>
    </row>
    <row r="311" spans="1:17" s="64" customFormat="1" ht="18.75" customHeight="1">
      <c r="A311" s="94">
        <v>288</v>
      </c>
      <c r="B311" s="95" t="s">
        <v>1153</v>
      </c>
      <c r="C311" s="117" t="s">
        <v>278</v>
      </c>
      <c r="D311" s="118" t="s">
        <v>72</v>
      </c>
      <c r="E311" s="94" t="s">
        <v>718</v>
      </c>
      <c r="F311" s="101" t="s">
        <v>1328</v>
      </c>
      <c r="G311" s="98">
        <v>6</v>
      </c>
      <c r="H311" s="99">
        <v>9</v>
      </c>
      <c r="I311" s="98">
        <v>6</v>
      </c>
      <c r="J311" s="98">
        <v>6</v>
      </c>
      <c r="K311" s="98"/>
      <c r="L311" s="100">
        <f t="shared" si="4"/>
        <v>6.3</v>
      </c>
      <c r="M311" s="92"/>
      <c r="N311" s="65"/>
      <c r="O311" s="65"/>
      <c r="P311" s="65"/>
      <c r="Q311" s="65"/>
    </row>
    <row r="312" spans="1:17" s="64" customFormat="1" ht="18.75" customHeight="1">
      <c r="A312" s="94">
        <v>289</v>
      </c>
      <c r="B312" s="95" t="s">
        <v>1154</v>
      </c>
      <c r="C312" s="117" t="s">
        <v>94</v>
      </c>
      <c r="D312" s="118" t="s">
        <v>379</v>
      </c>
      <c r="E312" s="94" t="s">
        <v>702</v>
      </c>
      <c r="F312" s="101" t="s">
        <v>1328</v>
      </c>
      <c r="G312" s="98">
        <v>8</v>
      </c>
      <c r="H312" s="99">
        <v>8</v>
      </c>
      <c r="I312" s="98">
        <v>8</v>
      </c>
      <c r="J312" s="98">
        <v>8</v>
      </c>
      <c r="K312" s="98"/>
      <c r="L312" s="100">
        <f t="shared" si="4"/>
        <v>8</v>
      </c>
      <c r="M312" s="92"/>
      <c r="N312" s="65"/>
      <c r="O312" s="65"/>
      <c r="P312" s="65"/>
      <c r="Q312" s="65"/>
    </row>
    <row r="313" spans="1:17" s="64" customFormat="1" ht="18.75" customHeight="1">
      <c r="A313" s="94">
        <v>290</v>
      </c>
      <c r="B313" s="95" t="s">
        <v>1155</v>
      </c>
      <c r="C313" s="117" t="s">
        <v>421</v>
      </c>
      <c r="D313" s="118" t="s">
        <v>273</v>
      </c>
      <c r="E313" s="94" t="s">
        <v>708</v>
      </c>
      <c r="F313" s="101" t="s">
        <v>1328</v>
      </c>
      <c r="G313" s="98">
        <v>6</v>
      </c>
      <c r="H313" s="99">
        <v>6</v>
      </c>
      <c r="I313" s="98">
        <v>5</v>
      </c>
      <c r="J313" s="98">
        <v>8</v>
      </c>
      <c r="K313" s="98"/>
      <c r="L313" s="100">
        <f t="shared" si="4"/>
        <v>7</v>
      </c>
      <c r="M313" s="92"/>
      <c r="N313" s="65"/>
      <c r="O313" s="65"/>
      <c r="P313" s="65"/>
      <c r="Q313" s="65"/>
    </row>
    <row r="314" spans="1:17" s="66" customFormat="1" ht="18.75" customHeight="1">
      <c r="A314" s="114">
        <v>291</v>
      </c>
      <c r="B314" s="105" t="s">
        <v>1156</v>
      </c>
      <c r="C314" s="106" t="s">
        <v>101</v>
      </c>
      <c r="D314" s="107" t="s">
        <v>37</v>
      </c>
      <c r="E314" s="114" t="s">
        <v>502</v>
      </c>
      <c r="F314" s="116" t="s">
        <v>1329</v>
      </c>
      <c r="G314" s="115"/>
      <c r="H314" s="108"/>
      <c r="I314" s="115"/>
      <c r="J314" s="115"/>
      <c r="K314" s="115"/>
      <c r="L314" s="109">
        <f t="shared" si="4"/>
        <v>0</v>
      </c>
      <c r="M314" s="111" t="s">
        <v>1358</v>
      </c>
      <c r="N314" s="79"/>
      <c r="O314" s="79"/>
      <c r="P314" s="79"/>
      <c r="Q314" s="79"/>
    </row>
    <row r="315" spans="1:17" s="64" customFormat="1" ht="18.75" customHeight="1">
      <c r="A315" s="94">
        <v>292</v>
      </c>
      <c r="B315" s="95" t="s">
        <v>1157</v>
      </c>
      <c r="C315" s="96" t="s">
        <v>150</v>
      </c>
      <c r="D315" s="97" t="s">
        <v>368</v>
      </c>
      <c r="E315" s="94" t="s">
        <v>506</v>
      </c>
      <c r="F315" s="101" t="s">
        <v>1329</v>
      </c>
      <c r="G315" s="98">
        <v>6</v>
      </c>
      <c r="H315" s="99">
        <v>7</v>
      </c>
      <c r="I315" s="98">
        <v>3</v>
      </c>
      <c r="J315" s="98">
        <v>6</v>
      </c>
      <c r="K315" s="98"/>
      <c r="L315" s="100">
        <f t="shared" si="4"/>
        <v>5.5</v>
      </c>
      <c r="M315" s="92"/>
      <c r="N315" s="65"/>
      <c r="O315" s="65"/>
      <c r="P315" s="65"/>
      <c r="Q315" s="65"/>
    </row>
    <row r="316" spans="1:17" s="64" customFormat="1" ht="18.75" customHeight="1">
      <c r="A316" s="94">
        <v>293</v>
      </c>
      <c r="B316" s="95" t="s">
        <v>1158</v>
      </c>
      <c r="C316" s="96" t="s">
        <v>147</v>
      </c>
      <c r="D316" s="97" t="s">
        <v>74</v>
      </c>
      <c r="E316" s="94" t="s">
        <v>503</v>
      </c>
      <c r="F316" s="101" t="s">
        <v>1329</v>
      </c>
      <c r="G316" s="98">
        <v>6</v>
      </c>
      <c r="H316" s="99">
        <v>8</v>
      </c>
      <c r="I316" s="98">
        <v>6</v>
      </c>
      <c r="J316" s="98">
        <v>7</v>
      </c>
      <c r="K316" s="98"/>
      <c r="L316" s="100">
        <f t="shared" si="4"/>
        <v>6.8</v>
      </c>
      <c r="M316" s="92"/>
      <c r="N316" s="65"/>
      <c r="O316" s="65"/>
      <c r="P316" s="65"/>
      <c r="Q316" s="65"/>
    </row>
    <row r="317" spans="1:17" s="64" customFormat="1" ht="18.75" customHeight="1">
      <c r="A317" s="94">
        <v>294</v>
      </c>
      <c r="B317" s="95" t="s">
        <v>1159</v>
      </c>
      <c r="C317" s="96" t="s">
        <v>370</v>
      </c>
      <c r="D317" s="97" t="s">
        <v>371</v>
      </c>
      <c r="E317" s="94" t="s">
        <v>509</v>
      </c>
      <c r="F317" s="101" t="s">
        <v>1329</v>
      </c>
      <c r="G317" s="98">
        <v>6</v>
      </c>
      <c r="H317" s="99">
        <v>7</v>
      </c>
      <c r="I317" s="98">
        <v>5</v>
      </c>
      <c r="J317" s="98">
        <v>6</v>
      </c>
      <c r="K317" s="98"/>
      <c r="L317" s="100">
        <f t="shared" si="4"/>
        <v>5.9</v>
      </c>
      <c r="M317" s="92"/>
      <c r="N317" s="65"/>
      <c r="O317" s="65"/>
      <c r="P317" s="65"/>
      <c r="Q317" s="65"/>
    </row>
    <row r="318" spans="1:17" s="64" customFormat="1" ht="18.75" customHeight="1">
      <c r="A318" s="94">
        <v>295</v>
      </c>
      <c r="B318" s="95" t="s">
        <v>1160</v>
      </c>
      <c r="C318" s="96" t="s">
        <v>148</v>
      </c>
      <c r="D318" s="97" t="s">
        <v>149</v>
      </c>
      <c r="E318" s="94" t="s">
        <v>504</v>
      </c>
      <c r="F318" s="101" t="s">
        <v>1329</v>
      </c>
      <c r="G318" s="98">
        <v>6</v>
      </c>
      <c r="H318" s="99">
        <v>7</v>
      </c>
      <c r="I318" s="98">
        <v>5</v>
      </c>
      <c r="J318" s="98">
        <v>7</v>
      </c>
      <c r="K318" s="98"/>
      <c r="L318" s="100">
        <f t="shared" si="4"/>
        <v>6.5</v>
      </c>
      <c r="M318" s="92"/>
      <c r="N318" s="65"/>
      <c r="O318" s="65"/>
      <c r="P318" s="65"/>
      <c r="Q318" s="65"/>
    </row>
    <row r="319" spans="1:13" s="65" customFormat="1" ht="18.75" customHeight="1">
      <c r="A319" s="112">
        <v>296</v>
      </c>
      <c r="B319" s="95" t="s">
        <v>1161</v>
      </c>
      <c r="C319" s="96" t="s">
        <v>155</v>
      </c>
      <c r="D319" s="97" t="s">
        <v>48</v>
      </c>
      <c r="E319" s="112" t="s">
        <v>518</v>
      </c>
      <c r="F319" s="113" t="s">
        <v>1329</v>
      </c>
      <c r="G319" s="99">
        <v>7</v>
      </c>
      <c r="H319" s="99">
        <v>7</v>
      </c>
      <c r="I319" s="99">
        <v>6.5</v>
      </c>
      <c r="J319" s="99">
        <v>6</v>
      </c>
      <c r="K319" s="99"/>
      <c r="L319" s="100">
        <f t="shared" si="4"/>
        <v>6.3</v>
      </c>
      <c r="M319" s="92"/>
    </row>
    <row r="320" spans="1:17" s="64" customFormat="1" ht="18.75" customHeight="1">
      <c r="A320" s="94">
        <v>297</v>
      </c>
      <c r="B320" s="95" t="s">
        <v>1162</v>
      </c>
      <c r="C320" s="117" t="s">
        <v>157</v>
      </c>
      <c r="D320" s="118" t="s">
        <v>241</v>
      </c>
      <c r="E320" s="94" t="s">
        <v>534</v>
      </c>
      <c r="F320" s="101" t="s">
        <v>1329</v>
      </c>
      <c r="G320" s="98">
        <v>6</v>
      </c>
      <c r="H320" s="99">
        <v>8</v>
      </c>
      <c r="I320" s="98">
        <v>4</v>
      </c>
      <c r="J320" s="98">
        <v>8</v>
      </c>
      <c r="K320" s="98"/>
      <c r="L320" s="100">
        <f t="shared" si="4"/>
        <v>7</v>
      </c>
      <c r="M320" s="92"/>
      <c r="N320" s="65"/>
      <c r="O320" s="65"/>
      <c r="P320" s="65"/>
      <c r="Q320" s="65"/>
    </row>
    <row r="321" spans="1:17" s="68" customFormat="1" ht="18.75" customHeight="1">
      <c r="A321" s="94">
        <v>298</v>
      </c>
      <c r="B321" s="95" t="s">
        <v>1163</v>
      </c>
      <c r="C321" s="117" t="s">
        <v>318</v>
      </c>
      <c r="D321" s="118" t="s">
        <v>54</v>
      </c>
      <c r="E321" s="94" t="s">
        <v>780</v>
      </c>
      <c r="F321" s="101" t="s">
        <v>1329</v>
      </c>
      <c r="G321" s="98">
        <v>6</v>
      </c>
      <c r="H321" s="99">
        <v>7</v>
      </c>
      <c r="I321" s="98">
        <v>5.5</v>
      </c>
      <c r="J321" s="98">
        <v>5</v>
      </c>
      <c r="K321" s="98"/>
      <c r="L321" s="100">
        <f t="shared" si="4"/>
        <v>5.4</v>
      </c>
      <c r="M321" s="92"/>
      <c r="N321" s="65"/>
      <c r="O321" s="65"/>
      <c r="P321" s="65"/>
      <c r="Q321" s="65"/>
    </row>
    <row r="322" spans="1:17" s="68" customFormat="1" ht="18.75" customHeight="1">
      <c r="A322" s="94">
        <v>299</v>
      </c>
      <c r="B322" s="95" t="s">
        <v>1164</v>
      </c>
      <c r="C322" s="96" t="s">
        <v>155</v>
      </c>
      <c r="D322" s="97" t="s">
        <v>58</v>
      </c>
      <c r="E322" s="94" t="s">
        <v>517</v>
      </c>
      <c r="F322" s="101" t="s">
        <v>1329</v>
      </c>
      <c r="G322" s="98">
        <v>7</v>
      </c>
      <c r="H322" s="99">
        <v>8</v>
      </c>
      <c r="I322" s="98">
        <v>6.5</v>
      </c>
      <c r="J322" s="98">
        <v>7</v>
      </c>
      <c r="K322" s="98"/>
      <c r="L322" s="100">
        <f t="shared" si="4"/>
        <v>7</v>
      </c>
      <c r="M322" s="92"/>
      <c r="N322" s="65"/>
      <c r="O322" s="65"/>
      <c r="P322" s="65"/>
      <c r="Q322" s="65"/>
    </row>
    <row r="323" spans="1:17" s="64" customFormat="1" ht="18.75" customHeight="1">
      <c r="A323" s="94">
        <v>300</v>
      </c>
      <c r="B323" s="95" t="s">
        <v>1165</v>
      </c>
      <c r="C323" s="96" t="s">
        <v>151</v>
      </c>
      <c r="D323" s="97" t="s">
        <v>88</v>
      </c>
      <c r="E323" s="94" t="s">
        <v>510</v>
      </c>
      <c r="F323" s="101" t="s">
        <v>1329</v>
      </c>
      <c r="G323" s="98">
        <v>6</v>
      </c>
      <c r="H323" s="99">
        <v>6</v>
      </c>
      <c r="I323" s="98">
        <v>5</v>
      </c>
      <c r="J323" s="98">
        <v>7</v>
      </c>
      <c r="K323" s="98"/>
      <c r="L323" s="100">
        <f t="shared" si="4"/>
        <v>6.4</v>
      </c>
      <c r="M323" s="92"/>
      <c r="N323" s="65"/>
      <c r="O323" s="65"/>
      <c r="P323" s="65"/>
      <c r="Q323" s="65"/>
    </row>
    <row r="324" spans="1:17" s="64" customFormat="1" ht="18.75" customHeight="1">
      <c r="A324" s="94">
        <v>301</v>
      </c>
      <c r="B324" s="95" t="s">
        <v>1166</v>
      </c>
      <c r="C324" s="96" t="s">
        <v>152</v>
      </c>
      <c r="D324" s="97" t="s">
        <v>113</v>
      </c>
      <c r="E324" s="94" t="s">
        <v>511</v>
      </c>
      <c r="F324" s="101" t="s">
        <v>1329</v>
      </c>
      <c r="G324" s="98">
        <v>6</v>
      </c>
      <c r="H324" s="99">
        <v>7</v>
      </c>
      <c r="I324" s="98">
        <v>5.5</v>
      </c>
      <c r="J324" s="98">
        <v>7</v>
      </c>
      <c r="K324" s="98"/>
      <c r="L324" s="100">
        <f t="shared" si="4"/>
        <v>6.6</v>
      </c>
      <c r="M324" s="92"/>
      <c r="N324" s="65"/>
      <c r="O324" s="65"/>
      <c r="P324" s="65"/>
      <c r="Q324" s="65"/>
    </row>
    <row r="325" spans="1:17" s="66" customFormat="1" ht="18.75" customHeight="1">
      <c r="A325" s="114">
        <v>302</v>
      </c>
      <c r="B325" s="105" t="s">
        <v>1167</v>
      </c>
      <c r="C325" s="106" t="s">
        <v>862</v>
      </c>
      <c r="D325" s="107" t="s">
        <v>132</v>
      </c>
      <c r="E325" s="114" t="s">
        <v>515</v>
      </c>
      <c r="F325" s="116" t="s">
        <v>1329</v>
      </c>
      <c r="G325" s="115"/>
      <c r="H325" s="108"/>
      <c r="I325" s="115"/>
      <c r="J325" s="115"/>
      <c r="K325" s="115"/>
      <c r="L325" s="109">
        <f t="shared" si="4"/>
        <v>0</v>
      </c>
      <c r="M325" s="111" t="s">
        <v>1359</v>
      </c>
      <c r="N325" s="79"/>
      <c r="O325" s="79"/>
      <c r="P325" s="79"/>
      <c r="Q325" s="79"/>
    </row>
    <row r="326" spans="1:17" s="64" customFormat="1" ht="18.75" customHeight="1">
      <c r="A326" s="94">
        <v>303</v>
      </c>
      <c r="B326" s="95" t="s">
        <v>1168</v>
      </c>
      <c r="C326" s="96" t="s">
        <v>377</v>
      </c>
      <c r="D326" s="97" t="s">
        <v>110</v>
      </c>
      <c r="E326" s="94" t="s">
        <v>519</v>
      </c>
      <c r="F326" s="101" t="s">
        <v>1329</v>
      </c>
      <c r="G326" s="98">
        <v>6</v>
      </c>
      <c r="H326" s="99">
        <v>8</v>
      </c>
      <c r="I326" s="98">
        <v>6</v>
      </c>
      <c r="J326" s="98">
        <v>7</v>
      </c>
      <c r="K326" s="98"/>
      <c r="L326" s="100">
        <f t="shared" si="4"/>
        <v>6.8</v>
      </c>
      <c r="M326" s="92"/>
      <c r="N326" s="65"/>
      <c r="O326" s="65"/>
      <c r="P326" s="65"/>
      <c r="Q326" s="65"/>
    </row>
    <row r="327" spans="1:17" s="64" customFormat="1" ht="18.75" customHeight="1">
      <c r="A327" s="94">
        <v>304</v>
      </c>
      <c r="B327" s="95" t="s">
        <v>1169</v>
      </c>
      <c r="C327" s="96" t="s">
        <v>374</v>
      </c>
      <c r="D327" s="97" t="s">
        <v>110</v>
      </c>
      <c r="E327" s="94" t="s">
        <v>513</v>
      </c>
      <c r="F327" s="101" t="s">
        <v>1329</v>
      </c>
      <c r="G327" s="98">
        <v>9</v>
      </c>
      <c r="H327" s="99">
        <v>7</v>
      </c>
      <c r="I327" s="98">
        <v>6.5</v>
      </c>
      <c r="J327" s="98">
        <v>6</v>
      </c>
      <c r="K327" s="98"/>
      <c r="L327" s="100">
        <f t="shared" si="4"/>
        <v>6.5</v>
      </c>
      <c r="M327" s="92"/>
      <c r="N327" s="65"/>
      <c r="O327" s="65"/>
      <c r="P327" s="65"/>
      <c r="Q327" s="65"/>
    </row>
    <row r="328" spans="1:17" s="68" customFormat="1" ht="18.75" customHeight="1">
      <c r="A328" s="94">
        <v>305</v>
      </c>
      <c r="B328" s="95" t="s">
        <v>1170</v>
      </c>
      <c r="C328" s="96" t="s">
        <v>369</v>
      </c>
      <c r="D328" s="97" t="s">
        <v>110</v>
      </c>
      <c r="E328" s="94" t="s">
        <v>508</v>
      </c>
      <c r="F328" s="101" t="s">
        <v>1329</v>
      </c>
      <c r="G328" s="98">
        <v>7</v>
      </c>
      <c r="H328" s="99">
        <v>8</v>
      </c>
      <c r="I328" s="98">
        <v>8.5</v>
      </c>
      <c r="J328" s="98">
        <v>7</v>
      </c>
      <c r="K328" s="98"/>
      <c r="L328" s="100">
        <f t="shared" si="4"/>
        <v>7.4</v>
      </c>
      <c r="M328" s="92"/>
      <c r="N328" s="65"/>
      <c r="O328" s="65"/>
      <c r="P328" s="65"/>
      <c r="Q328" s="65"/>
    </row>
    <row r="329" spans="1:17" s="68" customFormat="1" ht="18.75" customHeight="1">
      <c r="A329" s="94">
        <v>306</v>
      </c>
      <c r="B329" s="95" t="s">
        <v>1171</v>
      </c>
      <c r="C329" s="96" t="s">
        <v>376</v>
      </c>
      <c r="D329" s="97" t="s">
        <v>154</v>
      </c>
      <c r="E329" s="94" t="s">
        <v>516</v>
      </c>
      <c r="F329" s="101" t="s">
        <v>1329</v>
      </c>
      <c r="G329" s="98">
        <v>6</v>
      </c>
      <c r="H329" s="99">
        <v>7</v>
      </c>
      <c r="I329" s="98">
        <v>6</v>
      </c>
      <c r="J329" s="98">
        <v>7</v>
      </c>
      <c r="K329" s="98"/>
      <c r="L329" s="100">
        <f t="shared" si="4"/>
        <v>6.7</v>
      </c>
      <c r="M329" s="92"/>
      <c r="N329" s="65"/>
      <c r="O329" s="65"/>
      <c r="P329" s="65"/>
      <c r="Q329" s="65"/>
    </row>
    <row r="330" spans="1:17" s="64" customFormat="1" ht="18.75" customHeight="1">
      <c r="A330" s="94">
        <v>307</v>
      </c>
      <c r="B330" s="95" t="s">
        <v>1172</v>
      </c>
      <c r="C330" s="96" t="s">
        <v>372</v>
      </c>
      <c r="D330" s="97" t="s">
        <v>373</v>
      </c>
      <c r="E330" s="94" t="s">
        <v>512</v>
      </c>
      <c r="F330" s="101" t="s">
        <v>1329</v>
      </c>
      <c r="G330" s="98">
        <v>6</v>
      </c>
      <c r="H330" s="99">
        <v>6</v>
      </c>
      <c r="I330" s="98">
        <v>6</v>
      </c>
      <c r="J330" s="98">
        <v>7</v>
      </c>
      <c r="K330" s="98"/>
      <c r="L330" s="100">
        <f t="shared" si="4"/>
        <v>6.6</v>
      </c>
      <c r="M330" s="92"/>
      <c r="N330" s="65"/>
      <c r="O330" s="65"/>
      <c r="P330" s="65"/>
      <c r="Q330" s="65"/>
    </row>
    <row r="331" spans="1:17" s="64" customFormat="1" ht="18.75" customHeight="1">
      <c r="A331" s="94">
        <v>308</v>
      </c>
      <c r="B331" s="95" t="s">
        <v>1173</v>
      </c>
      <c r="C331" s="96" t="s">
        <v>145</v>
      </c>
      <c r="D331" s="97" t="s">
        <v>146</v>
      </c>
      <c r="E331" s="94" t="s">
        <v>501</v>
      </c>
      <c r="F331" s="101" t="s">
        <v>1329</v>
      </c>
      <c r="G331" s="98">
        <v>6</v>
      </c>
      <c r="H331" s="99">
        <v>6</v>
      </c>
      <c r="I331" s="98">
        <v>6</v>
      </c>
      <c r="J331" s="98">
        <v>5</v>
      </c>
      <c r="K331" s="98"/>
      <c r="L331" s="100">
        <f t="shared" si="4"/>
        <v>5.4</v>
      </c>
      <c r="M331" s="92"/>
      <c r="N331" s="65"/>
      <c r="O331" s="65"/>
      <c r="P331" s="65"/>
      <c r="Q331" s="65"/>
    </row>
    <row r="332" spans="1:17" s="64" customFormat="1" ht="18.75" customHeight="1">
      <c r="A332" s="94">
        <v>309</v>
      </c>
      <c r="B332" s="95" t="s">
        <v>1174</v>
      </c>
      <c r="C332" s="96" t="s">
        <v>50</v>
      </c>
      <c r="D332" s="97" t="s">
        <v>112</v>
      </c>
      <c r="E332" s="94" t="s">
        <v>507</v>
      </c>
      <c r="F332" s="101" t="s">
        <v>1329</v>
      </c>
      <c r="G332" s="98">
        <v>6</v>
      </c>
      <c r="H332" s="99">
        <v>6</v>
      </c>
      <c r="I332" s="98">
        <v>5.5</v>
      </c>
      <c r="J332" s="98">
        <v>7</v>
      </c>
      <c r="K332" s="98"/>
      <c r="L332" s="100">
        <f t="shared" si="4"/>
        <v>6.5</v>
      </c>
      <c r="M332" s="92"/>
      <c r="N332" s="65"/>
      <c r="O332" s="65"/>
      <c r="P332" s="65"/>
      <c r="Q332" s="65"/>
    </row>
    <row r="333" spans="1:17" s="64" customFormat="1" ht="18.75" customHeight="1">
      <c r="A333" s="94">
        <v>310</v>
      </c>
      <c r="B333" s="95" t="s">
        <v>1175</v>
      </c>
      <c r="C333" s="96" t="s">
        <v>367</v>
      </c>
      <c r="D333" s="97" t="s">
        <v>100</v>
      </c>
      <c r="E333" s="94" t="s">
        <v>505</v>
      </c>
      <c r="F333" s="101" t="s">
        <v>1329</v>
      </c>
      <c r="G333" s="98">
        <v>6</v>
      </c>
      <c r="H333" s="99">
        <v>7</v>
      </c>
      <c r="I333" s="98">
        <v>5</v>
      </c>
      <c r="J333" s="98">
        <v>0</v>
      </c>
      <c r="K333" s="98"/>
      <c r="L333" s="100">
        <f t="shared" si="4"/>
        <v>2.3</v>
      </c>
      <c r="M333" s="92" t="s">
        <v>1360</v>
      </c>
      <c r="N333" s="65"/>
      <c r="O333" s="65"/>
      <c r="P333" s="65"/>
      <c r="Q333" s="65"/>
    </row>
    <row r="334" spans="1:17" s="64" customFormat="1" ht="18.75" customHeight="1">
      <c r="A334" s="94">
        <v>311</v>
      </c>
      <c r="B334" s="95" t="s">
        <v>1176</v>
      </c>
      <c r="C334" s="96" t="s">
        <v>375</v>
      </c>
      <c r="D334" s="97" t="s">
        <v>153</v>
      </c>
      <c r="E334" s="94" t="s">
        <v>514</v>
      </c>
      <c r="F334" s="101" t="s">
        <v>1329</v>
      </c>
      <c r="G334" s="98">
        <v>6</v>
      </c>
      <c r="H334" s="99">
        <v>7</v>
      </c>
      <c r="I334" s="98">
        <v>5</v>
      </c>
      <c r="J334" s="98">
        <v>5</v>
      </c>
      <c r="K334" s="98"/>
      <c r="L334" s="100">
        <f t="shared" si="4"/>
        <v>5.3</v>
      </c>
      <c r="M334" s="92"/>
      <c r="N334" s="65"/>
      <c r="O334" s="65"/>
      <c r="P334" s="65"/>
      <c r="Q334" s="65"/>
    </row>
    <row r="335" spans="1:13" s="68" customFormat="1" ht="18.75" customHeight="1">
      <c r="A335" s="127"/>
      <c r="B335" s="124"/>
      <c r="C335" s="152" t="s">
        <v>1406</v>
      </c>
      <c r="D335" s="153" t="s">
        <v>44</v>
      </c>
      <c r="E335" s="154">
        <v>29205</v>
      </c>
      <c r="F335" s="146" t="s">
        <v>1329</v>
      </c>
      <c r="G335" s="128">
        <v>8</v>
      </c>
      <c r="H335" s="128">
        <v>8</v>
      </c>
      <c r="I335" s="128">
        <v>7.5</v>
      </c>
      <c r="J335" s="128">
        <v>7</v>
      </c>
      <c r="K335" s="128"/>
      <c r="L335" s="129">
        <f t="shared" si="4"/>
        <v>7.3</v>
      </c>
      <c r="M335" s="155"/>
    </row>
    <row r="336" spans="1:17" s="64" customFormat="1" ht="18.75" customHeight="1">
      <c r="A336" s="94">
        <v>312</v>
      </c>
      <c r="B336" s="95" t="s">
        <v>1177</v>
      </c>
      <c r="C336" s="117" t="s">
        <v>216</v>
      </c>
      <c r="D336" s="118" t="s">
        <v>116</v>
      </c>
      <c r="E336" s="94" t="s">
        <v>744</v>
      </c>
      <c r="F336" s="101" t="s">
        <v>1330</v>
      </c>
      <c r="G336" s="98">
        <v>7</v>
      </c>
      <c r="H336" s="99">
        <v>6</v>
      </c>
      <c r="I336" s="98">
        <v>6.5</v>
      </c>
      <c r="J336" s="98">
        <v>9</v>
      </c>
      <c r="K336" s="98"/>
      <c r="L336" s="100">
        <f t="shared" si="4"/>
        <v>8</v>
      </c>
      <c r="M336" s="92"/>
      <c r="N336" s="65"/>
      <c r="O336" s="65"/>
      <c r="P336" s="65"/>
      <c r="Q336" s="65"/>
    </row>
    <row r="337" spans="1:17" s="64" customFormat="1" ht="18.75" customHeight="1">
      <c r="A337" s="94">
        <v>313</v>
      </c>
      <c r="B337" s="95" t="s">
        <v>1178</v>
      </c>
      <c r="C337" s="117" t="s">
        <v>287</v>
      </c>
      <c r="D337" s="118" t="s">
        <v>288</v>
      </c>
      <c r="E337" s="94" t="s">
        <v>738</v>
      </c>
      <c r="F337" s="101" t="s">
        <v>857</v>
      </c>
      <c r="G337" s="98">
        <v>7</v>
      </c>
      <c r="H337" s="99">
        <v>7</v>
      </c>
      <c r="I337" s="98">
        <v>7</v>
      </c>
      <c r="J337" s="98">
        <v>6</v>
      </c>
      <c r="K337" s="98"/>
      <c r="L337" s="100">
        <f t="shared" si="4"/>
        <v>6.4</v>
      </c>
      <c r="M337" s="92"/>
      <c r="N337" s="65"/>
      <c r="O337" s="65"/>
      <c r="P337" s="65"/>
      <c r="Q337" s="65"/>
    </row>
    <row r="338" spans="1:17" s="64" customFormat="1" ht="18.75" customHeight="1">
      <c r="A338" s="94">
        <v>314</v>
      </c>
      <c r="B338" s="95" t="s">
        <v>1179</v>
      </c>
      <c r="C338" s="117" t="s">
        <v>432</v>
      </c>
      <c r="D338" s="118" t="s">
        <v>433</v>
      </c>
      <c r="E338" s="94" t="s">
        <v>740</v>
      </c>
      <c r="F338" s="101" t="s">
        <v>857</v>
      </c>
      <c r="G338" s="98">
        <v>6</v>
      </c>
      <c r="H338" s="99">
        <v>8</v>
      </c>
      <c r="I338" s="98">
        <v>6</v>
      </c>
      <c r="J338" s="98">
        <v>5</v>
      </c>
      <c r="K338" s="98"/>
      <c r="L338" s="100">
        <f t="shared" si="4"/>
        <v>5.6</v>
      </c>
      <c r="M338" s="92"/>
      <c r="N338" s="65"/>
      <c r="O338" s="65"/>
      <c r="P338" s="65"/>
      <c r="Q338" s="65"/>
    </row>
    <row r="339" spans="1:13" s="79" customFormat="1" ht="18.75" customHeight="1">
      <c r="A339" s="104">
        <v>315</v>
      </c>
      <c r="B339" s="105" t="s">
        <v>1180</v>
      </c>
      <c r="C339" s="131" t="s">
        <v>69</v>
      </c>
      <c r="D339" s="132" t="s">
        <v>158</v>
      </c>
      <c r="E339" s="104" t="s">
        <v>726</v>
      </c>
      <c r="F339" s="110" t="s">
        <v>857</v>
      </c>
      <c r="G339" s="108"/>
      <c r="H339" s="108"/>
      <c r="I339" s="108"/>
      <c r="J339" s="108"/>
      <c r="K339" s="108"/>
      <c r="L339" s="109">
        <f t="shared" si="4"/>
        <v>0</v>
      </c>
      <c r="M339" s="111" t="s">
        <v>1346</v>
      </c>
    </row>
    <row r="340" spans="1:17" s="64" customFormat="1" ht="18.75" customHeight="1">
      <c r="A340" s="94">
        <v>316</v>
      </c>
      <c r="B340" s="95" t="s">
        <v>1181</v>
      </c>
      <c r="C340" s="117" t="s">
        <v>289</v>
      </c>
      <c r="D340" s="118" t="s">
        <v>290</v>
      </c>
      <c r="E340" s="94" t="s">
        <v>739</v>
      </c>
      <c r="F340" s="101" t="s">
        <v>857</v>
      </c>
      <c r="G340" s="98">
        <v>6</v>
      </c>
      <c r="H340" s="99">
        <v>8</v>
      </c>
      <c r="I340" s="98">
        <v>6</v>
      </c>
      <c r="J340" s="98">
        <v>8</v>
      </c>
      <c r="K340" s="98"/>
      <c r="L340" s="100">
        <f t="shared" si="4"/>
        <v>7.4</v>
      </c>
      <c r="M340" s="92"/>
      <c r="N340" s="65"/>
      <c r="O340" s="65"/>
      <c r="P340" s="65"/>
      <c r="Q340" s="65"/>
    </row>
    <row r="341" spans="1:17" s="66" customFormat="1" ht="18.75" customHeight="1">
      <c r="A341" s="114">
        <v>317</v>
      </c>
      <c r="B341" s="105" t="s">
        <v>1182</v>
      </c>
      <c r="C341" s="119" t="s">
        <v>61</v>
      </c>
      <c r="D341" s="120" t="s">
        <v>49</v>
      </c>
      <c r="E341" s="114" t="s">
        <v>797</v>
      </c>
      <c r="F341" s="116" t="s">
        <v>857</v>
      </c>
      <c r="G341" s="115"/>
      <c r="H341" s="108"/>
      <c r="I341" s="115"/>
      <c r="J341" s="115"/>
      <c r="K341" s="115"/>
      <c r="L341" s="109">
        <f t="shared" si="4"/>
        <v>0</v>
      </c>
      <c r="M341" s="111" t="s">
        <v>1361</v>
      </c>
      <c r="N341" s="79"/>
      <c r="O341" s="79"/>
      <c r="P341" s="79"/>
      <c r="Q341" s="79"/>
    </row>
    <row r="342" spans="1:17" s="64" customFormat="1" ht="18.75" customHeight="1">
      <c r="A342" s="94">
        <v>318</v>
      </c>
      <c r="B342" s="95" t="s">
        <v>1183</v>
      </c>
      <c r="C342" s="117" t="s">
        <v>214</v>
      </c>
      <c r="D342" s="118" t="s">
        <v>241</v>
      </c>
      <c r="E342" s="94" t="s">
        <v>737</v>
      </c>
      <c r="F342" s="101" t="s">
        <v>857</v>
      </c>
      <c r="G342" s="98">
        <v>6</v>
      </c>
      <c r="H342" s="99">
        <v>8</v>
      </c>
      <c r="I342" s="98">
        <v>5</v>
      </c>
      <c r="J342" s="98">
        <v>8</v>
      </c>
      <c r="K342" s="98"/>
      <c r="L342" s="100">
        <f t="shared" si="4"/>
        <v>7.2</v>
      </c>
      <c r="M342" s="92"/>
      <c r="N342" s="65"/>
      <c r="O342" s="65"/>
      <c r="P342" s="65"/>
      <c r="Q342" s="65"/>
    </row>
    <row r="343" spans="1:17" s="64" customFormat="1" ht="18.75" customHeight="1">
      <c r="A343" s="94">
        <v>319</v>
      </c>
      <c r="B343" s="95" t="s">
        <v>1184</v>
      </c>
      <c r="C343" s="117" t="s">
        <v>431</v>
      </c>
      <c r="D343" s="118" t="s">
        <v>241</v>
      </c>
      <c r="E343" s="94" t="s">
        <v>735</v>
      </c>
      <c r="F343" s="101" t="s">
        <v>857</v>
      </c>
      <c r="G343" s="98">
        <v>7</v>
      </c>
      <c r="H343" s="99">
        <v>8</v>
      </c>
      <c r="I343" s="98">
        <v>7</v>
      </c>
      <c r="J343" s="98">
        <v>7</v>
      </c>
      <c r="K343" s="98"/>
      <c r="L343" s="100">
        <f aca="true" t="shared" si="5" ref="L343:L406">ROUND(G343*$C$11+H343*$C$12+I343*$C$13+J343*$C$14+K343*$C$15,1)</f>
        <v>7.1</v>
      </c>
      <c r="M343" s="92"/>
      <c r="N343" s="65"/>
      <c r="O343" s="65"/>
      <c r="P343" s="65"/>
      <c r="Q343" s="65"/>
    </row>
    <row r="344" spans="1:17" s="64" customFormat="1" ht="18.75" customHeight="1">
      <c r="A344" s="94">
        <v>320</v>
      </c>
      <c r="B344" s="95" t="s">
        <v>1185</v>
      </c>
      <c r="C344" s="117" t="s">
        <v>52</v>
      </c>
      <c r="D344" s="118" t="s">
        <v>282</v>
      </c>
      <c r="E344" s="94" t="s">
        <v>731</v>
      </c>
      <c r="F344" s="101" t="s">
        <v>857</v>
      </c>
      <c r="G344" s="98">
        <v>6</v>
      </c>
      <c r="H344" s="99">
        <v>7</v>
      </c>
      <c r="I344" s="98">
        <v>6</v>
      </c>
      <c r="J344" s="98">
        <v>7</v>
      </c>
      <c r="K344" s="98"/>
      <c r="L344" s="100">
        <f t="shared" si="5"/>
        <v>6.7</v>
      </c>
      <c r="M344" s="92"/>
      <c r="N344" s="65"/>
      <c r="O344" s="65"/>
      <c r="P344" s="65"/>
      <c r="Q344" s="65"/>
    </row>
    <row r="345" spans="1:17" s="64" customFormat="1" ht="18.75" customHeight="1">
      <c r="A345" s="94">
        <v>321</v>
      </c>
      <c r="B345" s="95" t="s">
        <v>1186</v>
      </c>
      <c r="C345" s="117" t="s">
        <v>237</v>
      </c>
      <c r="D345" s="118" t="s">
        <v>56</v>
      </c>
      <c r="E345" s="94" t="s">
        <v>727</v>
      </c>
      <c r="F345" s="101" t="s">
        <v>857</v>
      </c>
      <c r="G345" s="98">
        <v>8</v>
      </c>
      <c r="H345" s="99">
        <v>8</v>
      </c>
      <c r="I345" s="98">
        <v>8</v>
      </c>
      <c r="J345" s="98">
        <v>6</v>
      </c>
      <c r="K345" s="98"/>
      <c r="L345" s="100">
        <f t="shared" si="5"/>
        <v>6.8</v>
      </c>
      <c r="M345" s="92"/>
      <c r="N345" s="65"/>
      <c r="O345" s="65"/>
      <c r="P345" s="65"/>
      <c r="Q345" s="65"/>
    </row>
    <row r="346" spans="1:17" s="64" customFormat="1" ht="18.75" customHeight="1">
      <c r="A346" s="94">
        <v>322</v>
      </c>
      <c r="B346" s="95" t="s">
        <v>1187</v>
      </c>
      <c r="C346" s="117" t="s">
        <v>292</v>
      </c>
      <c r="D346" s="118" t="s">
        <v>57</v>
      </c>
      <c r="E346" s="94" t="s">
        <v>745</v>
      </c>
      <c r="F346" s="101" t="s">
        <v>857</v>
      </c>
      <c r="G346" s="98">
        <v>7</v>
      </c>
      <c r="H346" s="99">
        <v>8</v>
      </c>
      <c r="I346" s="98">
        <v>7</v>
      </c>
      <c r="J346" s="98">
        <v>6</v>
      </c>
      <c r="K346" s="98"/>
      <c r="L346" s="100">
        <f t="shared" si="5"/>
        <v>6.5</v>
      </c>
      <c r="M346" s="92"/>
      <c r="N346" s="65"/>
      <c r="O346" s="65"/>
      <c r="P346" s="65"/>
      <c r="Q346" s="65"/>
    </row>
    <row r="347" spans="1:17" s="64" customFormat="1" ht="18.75" customHeight="1">
      <c r="A347" s="94">
        <v>323</v>
      </c>
      <c r="B347" s="95" t="s">
        <v>1188</v>
      </c>
      <c r="C347" s="117" t="s">
        <v>443</v>
      </c>
      <c r="D347" s="118" t="s">
        <v>57</v>
      </c>
      <c r="E347" s="94" t="s">
        <v>746</v>
      </c>
      <c r="F347" s="101" t="s">
        <v>857</v>
      </c>
      <c r="G347" s="98">
        <v>6</v>
      </c>
      <c r="H347" s="99">
        <v>6</v>
      </c>
      <c r="I347" s="98">
        <v>5.5</v>
      </c>
      <c r="J347" s="98">
        <v>7</v>
      </c>
      <c r="K347" s="98"/>
      <c r="L347" s="100">
        <f t="shared" si="5"/>
        <v>6.5</v>
      </c>
      <c r="M347" s="92"/>
      <c r="N347" s="65"/>
      <c r="O347" s="65"/>
      <c r="P347" s="65"/>
      <c r="Q347" s="65"/>
    </row>
    <row r="348" spans="1:17" s="64" customFormat="1" ht="18.75" customHeight="1">
      <c r="A348" s="94">
        <v>324</v>
      </c>
      <c r="B348" s="95" t="s">
        <v>1189</v>
      </c>
      <c r="C348" s="117" t="s">
        <v>41</v>
      </c>
      <c r="D348" s="118" t="s">
        <v>286</v>
      </c>
      <c r="E348" s="94" t="s">
        <v>636</v>
      </c>
      <c r="F348" s="101" t="s">
        <v>857</v>
      </c>
      <c r="G348" s="98">
        <v>8</v>
      </c>
      <c r="H348" s="99">
        <v>8</v>
      </c>
      <c r="I348" s="98">
        <v>7.5</v>
      </c>
      <c r="J348" s="98">
        <v>5</v>
      </c>
      <c r="K348" s="98"/>
      <c r="L348" s="100">
        <f t="shared" si="5"/>
        <v>6.1</v>
      </c>
      <c r="M348" s="92"/>
      <c r="N348" s="65"/>
      <c r="O348" s="65"/>
      <c r="P348" s="65"/>
      <c r="Q348" s="65"/>
    </row>
    <row r="349" spans="1:17" s="64" customFormat="1" ht="18.75" customHeight="1">
      <c r="A349" s="94">
        <v>325</v>
      </c>
      <c r="B349" s="95" t="s">
        <v>1190</v>
      </c>
      <c r="C349" s="117" t="s">
        <v>319</v>
      </c>
      <c r="D349" s="118" t="s">
        <v>62</v>
      </c>
      <c r="E349" s="94" t="s">
        <v>781</v>
      </c>
      <c r="F349" s="101" t="s">
        <v>857</v>
      </c>
      <c r="G349" s="98">
        <v>7</v>
      </c>
      <c r="H349" s="99">
        <v>8</v>
      </c>
      <c r="I349" s="98">
        <v>7</v>
      </c>
      <c r="J349" s="98">
        <v>6</v>
      </c>
      <c r="K349" s="98"/>
      <c r="L349" s="100">
        <f t="shared" si="5"/>
        <v>6.5</v>
      </c>
      <c r="M349" s="92"/>
      <c r="N349" s="65"/>
      <c r="O349" s="65"/>
      <c r="P349" s="65"/>
      <c r="Q349" s="65"/>
    </row>
    <row r="350" spans="1:17" s="64" customFormat="1" ht="18.75" customHeight="1">
      <c r="A350" s="94">
        <v>326</v>
      </c>
      <c r="B350" s="95" t="s">
        <v>1191</v>
      </c>
      <c r="C350" s="117" t="s">
        <v>291</v>
      </c>
      <c r="D350" s="118" t="s">
        <v>62</v>
      </c>
      <c r="E350" s="94" t="s">
        <v>743</v>
      </c>
      <c r="F350" s="101" t="s">
        <v>857</v>
      </c>
      <c r="G350" s="98">
        <v>6</v>
      </c>
      <c r="H350" s="99">
        <v>7</v>
      </c>
      <c r="I350" s="98">
        <v>7</v>
      </c>
      <c r="J350" s="98">
        <v>5</v>
      </c>
      <c r="K350" s="98"/>
      <c r="L350" s="100">
        <f t="shared" si="5"/>
        <v>5.7</v>
      </c>
      <c r="M350" s="92"/>
      <c r="N350" s="65"/>
      <c r="O350" s="65"/>
      <c r="P350" s="65"/>
      <c r="Q350" s="65"/>
    </row>
    <row r="351" spans="1:17" s="64" customFormat="1" ht="18.75" customHeight="1">
      <c r="A351" s="94">
        <v>327</v>
      </c>
      <c r="B351" s="95" t="s">
        <v>1192</v>
      </c>
      <c r="C351" s="117" t="s">
        <v>281</v>
      </c>
      <c r="D351" s="118" t="s">
        <v>110</v>
      </c>
      <c r="E351" s="94" t="s">
        <v>728</v>
      </c>
      <c r="F351" s="101" t="s">
        <v>857</v>
      </c>
      <c r="G351" s="98">
        <v>6</v>
      </c>
      <c r="H351" s="99">
        <v>8</v>
      </c>
      <c r="I351" s="98">
        <v>7.5</v>
      </c>
      <c r="J351" s="98">
        <v>5</v>
      </c>
      <c r="K351" s="98"/>
      <c r="L351" s="100">
        <f t="shared" si="5"/>
        <v>5.9</v>
      </c>
      <c r="M351" s="92"/>
      <c r="N351" s="65"/>
      <c r="O351" s="65"/>
      <c r="P351" s="65"/>
      <c r="Q351" s="65"/>
    </row>
    <row r="352" spans="1:17" s="64" customFormat="1" ht="18.75" customHeight="1">
      <c r="A352" s="94">
        <v>328</v>
      </c>
      <c r="B352" s="95" t="s">
        <v>1193</v>
      </c>
      <c r="C352" s="117" t="s">
        <v>269</v>
      </c>
      <c r="D352" s="118" t="s">
        <v>184</v>
      </c>
      <c r="E352" s="94" t="s">
        <v>742</v>
      </c>
      <c r="F352" s="101" t="s">
        <v>857</v>
      </c>
      <c r="G352" s="98">
        <v>6</v>
      </c>
      <c r="H352" s="99">
        <v>7</v>
      </c>
      <c r="I352" s="98">
        <v>6</v>
      </c>
      <c r="J352" s="98">
        <v>7</v>
      </c>
      <c r="K352" s="98"/>
      <c r="L352" s="100">
        <f t="shared" si="5"/>
        <v>6.7</v>
      </c>
      <c r="M352" s="92"/>
      <c r="N352" s="65"/>
      <c r="O352" s="65"/>
      <c r="P352" s="65"/>
      <c r="Q352" s="65"/>
    </row>
    <row r="353" spans="1:17" s="64" customFormat="1" ht="18.75" customHeight="1">
      <c r="A353" s="94">
        <v>329</v>
      </c>
      <c r="B353" s="95" t="s">
        <v>1194</v>
      </c>
      <c r="C353" s="117" t="s">
        <v>284</v>
      </c>
      <c r="D353" s="118" t="s">
        <v>285</v>
      </c>
      <c r="E353" s="94" t="s">
        <v>736</v>
      </c>
      <c r="F353" s="101" t="s">
        <v>857</v>
      </c>
      <c r="G353" s="98">
        <v>6</v>
      </c>
      <c r="H353" s="99">
        <v>7</v>
      </c>
      <c r="I353" s="98">
        <v>5</v>
      </c>
      <c r="J353" s="98">
        <v>7</v>
      </c>
      <c r="K353" s="98"/>
      <c r="L353" s="100">
        <f t="shared" si="5"/>
        <v>6.5</v>
      </c>
      <c r="M353" s="92"/>
      <c r="N353" s="65"/>
      <c r="O353" s="65"/>
      <c r="P353" s="65"/>
      <c r="Q353" s="65"/>
    </row>
    <row r="354" spans="1:17" s="64" customFormat="1" ht="18.75" customHeight="1">
      <c r="A354" s="94">
        <v>330</v>
      </c>
      <c r="B354" s="95" t="s">
        <v>1195</v>
      </c>
      <c r="C354" s="117" t="s">
        <v>147</v>
      </c>
      <c r="D354" s="118" t="s">
        <v>171</v>
      </c>
      <c r="E354" s="94" t="s">
        <v>499</v>
      </c>
      <c r="F354" s="101" t="s">
        <v>857</v>
      </c>
      <c r="G354" s="128"/>
      <c r="H354" s="99">
        <v>7</v>
      </c>
      <c r="I354" s="98">
        <v>0</v>
      </c>
      <c r="J354" s="98">
        <v>8</v>
      </c>
      <c r="K354" s="98"/>
      <c r="L354" s="100">
        <f t="shared" si="5"/>
        <v>5.5</v>
      </c>
      <c r="M354" s="92" t="s">
        <v>1362</v>
      </c>
      <c r="N354" s="65"/>
      <c r="O354" s="65"/>
      <c r="P354" s="65"/>
      <c r="Q354" s="65"/>
    </row>
    <row r="355" spans="1:17" s="64" customFormat="1" ht="18.75" customHeight="1">
      <c r="A355" s="94">
        <v>331</v>
      </c>
      <c r="B355" s="95" t="s">
        <v>1196</v>
      </c>
      <c r="C355" s="117" t="s">
        <v>434</v>
      </c>
      <c r="D355" s="118" t="s">
        <v>66</v>
      </c>
      <c r="E355" s="94" t="s">
        <v>741</v>
      </c>
      <c r="F355" s="101" t="s">
        <v>857</v>
      </c>
      <c r="G355" s="98">
        <v>6</v>
      </c>
      <c r="H355" s="99">
        <v>8</v>
      </c>
      <c r="I355" s="98">
        <v>5</v>
      </c>
      <c r="J355" s="98">
        <v>8</v>
      </c>
      <c r="K355" s="98"/>
      <c r="L355" s="100">
        <f t="shared" si="5"/>
        <v>7.2</v>
      </c>
      <c r="M355" s="92"/>
      <c r="N355" s="65"/>
      <c r="O355" s="65"/>
      <c r="P355" s="65"/>
      <c r="Q355" s="65"/>
    </row>
    <row r="356" spans="1:17" s="64" customFormat="1" ht="18.75" customHeight="1">
      <c r="A356" s="94">
        <v>332</v>
      </c>
      <c r="B356" s="95" t="s">
        <v>1197</v>
      </c>
      <c r="C356" s="117" t="s">
        <v>247</v>
      </c>
      <c r="D356" s="118" t="s">
        <v>66</v>
      </c>
      <c r="E356" s="94" t="s">
        <v>729</v>
      </c>
      <c r="F356" s="101" t="s">
        <v>857</v>
      </c>
      <c r="G356" s="98">
        <v>7</v>
      </c>
      <c r="H356" s="99">
        <v>8</v>
      </c>
      <c r="I356" s="98">
        <v>7</v>
      </c>
      <c r="J356" s="98">
        <v>8</v>
      </c>
      <c r="K356" s="98"/>
      <c r="L356" s="100">
        <f t="shared" si="5"/>
        <v>7.7</v>
      </c>
      <c r="M356" s="92"/>
      <c r="N356" s="65"/>
      <c r="O356" s="65"/>
      <c r="P356" s="65"/>
      <c r="Q356" s="65"/>
    </row>
    <row r="357" spans="1:17" s="64" customFormat="1" ht="18.75" customHeight="1">
      <c r="A357" s="94">
        <v>333</v>
      </c>
      <c r="B357" s="95" t="s">
        <v>1198</v>
      </c>
      <c r="C357" s="117" t="s">
        <v>429</v>
      </c>
      <c r="D357" s="118" t="s">
        <v>283</v>
      </c>
      <c r="E357" s="94" t="s">
        <v>732</v>
      </c>
      <c r="F357" s="101" t="s">
        <v>857</v>
      </c>
      <c r="G357" s="98">
        <v>6</v>
      </c>
      <c r="H357" s="99">
        <v>8</v>
      </c>
      <c r="I357" s="98">
        <v>5</v>
      </c>
      <c r="J357" s="98">
        <v>6</v>
      </c>
      <c r="K357" s="98"/>
      <c r="L357" s="100">
        <f t="shared" si="5"/>
        <v>6</v>
      </c>
      <c r="M357" s="92"/>
      <c r="N357" s="65"/>
      <c r="O357" s="65"/>
      <c r="P357" s="65"/>
      <c r="Q357" s="65"/>
    </row>
    <row r="358" spans="1:17" s="64" customFormat="1" ht="18.75" customHeight="1">
      <c r="A358" s="94">
        <v>334</v>
      </c>
      <c r="B358" s="95" t="s">
        <v>1199</v>
      </c>
      <c r="C358" s="117" t="s">
        <v>208</v>
      </c>
      <c r="D358" s="118" t="s">
        <v>67</v>
      </c>
      <c r="E358" s="94" t="s">
        <v>724</v>
      </c>
      <c r="F358" s="101" t="s">
        <v>857</v>
      </c>
      <c r="G358" s="98">
        <v>6</v>
      </c>
      <c r="H358" s="99">
        <v>7</v>
      </c>
      <c r="I358" s="98">
        <v>5</v>
      </c>
      <c r="J358" s="98">
        <v>8</v>
      </c>
      <c r="K358" s="98"/>
      <c r="L358" s="100">
        <f t="shared" si="5"/>
        <v>7.1</v>
      </c>
      <c r="M358" s="92"/>
      <c r="N358" s="65"/>
      <c r="O358" s="65"/>
      <c r="P358" s="65"/>
      <c r="Q358" s="65"/>
    </row>
    <row r="359" spans="1:17" s="64" customFormat="1" ht="18.75" customHeight="1">
      <c r="A359" s="94">
        <v>335</v>
      </c>
      <c r="B359" s="95" t="s">
        <v>1200</v>
      </c>
      <c r="C359" s="117" t="s">
        <v>362</v>
      </c>
      <c r="D359" s="118" t="s">
        <v>119</v>
      </c>
      <c r="E359" s="94" t="s">
        <v>733</v>
      </c>
      <c r="F359" s="101" t="s">
        <v>857</v>
      </c>
      <c r="G359" s="98">
        <v>7</v>
      </c>
      <c r="H359" s="99">
        <v>7</v>
      </c>
      <c r="I359" s="98">
        <v>7</v>
      </c>
      <c r="J359" s="98">
        <v>6</v>
      </c>
      <c r="K359" s="98"/>
      <c r="L359" s="100">
        <f t="shared" si="5"/>
        <v>6.4</v>
      </c>
      <c r="M359" s="92"/>
      <c r="N359" s="65"/>
      <c r="O359" s="65"/>
      <c r="P359" s="65"/>
      <c r="Q359" s="65"/>
    </row>
    <row r="360" spans="1:13" s="65" customFormat="1" ht="18.75" customHeight="1">
      <c r="A360" s="112">
        <v>336</v>
      </c>
      <c r="B360" s="95" t="s">
        <v>1201</v>
      </c>
      <c r="C360" s="122" t="s">
        <v>61</v>
      </c>
      <c r="D360" s="123" t="s">
        <v>119</v>
      </c>
      <c r="E360" s="112" t="s">
        <v>730</v>
      </c>
      <c r="F360" s="113" t="s">
        <v>857</v>
      </c>
      <c r="G360" s="99">
        <v>6</v>
      </c>
      <c r="H360" s="99">
        <v>7</v>
      </c>
      <c r="I360" s="99">
        <v>5.5</v>
      </c>
      <c r="J360" s="99">
        <v>7</v>
      </c>
      <c r="K360" s="99"/>
      <c r="L360" s="100">
        <f t="shared" si="5"/>
        <v>6.6</v>
      </c>
      <c r="M360" s="92"/>
    </row>
    <row r="361" spans="1:17" s="64" customFormat="1" ht="18.75" customHeight="1">
      <c r="A361" s="94">
        <v>337</v>
      </c>
      <c r="B361" s="95" t="s">
        <v>1202</v>
      </c>
      <c r="C361" s="117" t="s">
        <v>430</v>
      </c>
      <c r="D361" s="118" t="s">
        <v>72</v>
      </c>
      <c r="E361" s="94" t="s">
        <v>734</v>
      </c>
      <c r="F361" s="101" t="s">
        <v>857</v>
      </c>
      <c r="G361" s="98">
        <v>7</v>
      </c>
      <c r="H361" s="99">
        <v>8</v>
      </c>
      <c r="I361" s="98">
        <v>7</v>
      </c>
      <c r="J361" s="98">
        <v>8</v>
      </c>
      <c r="K361" s="98"/>
      <c r="L361" s="100">
        <f t="shared" si="5"/>
        <v>7.7</v>
      </c>
      <c r="M361" s="92"/>
      <c r="N361" s="65"/>
      <c r="O361" s="65"/>
      <c r="P361" s="65"/>
      <c r="Q361" s="65"/>
    </row>
    <row r="362" spans="1:17" s="64" customFormat="1" ht="18.75" customHeight="1">
      <c r="A362" s="94">
        <v>338</v>
      </c>
      <c r="B362" s="95" t="s">
        <v>1203</v>
      </c>
      <c r="C362" s="117" t="s">
        <v>428</v>
      </c>
      <c r="D362" s="118" t="s">
        <v>280</v>
      </c>
      <c r="E362" s="94" t="s">
        <v>725</v>
      </c>
      <c r="F362" s="101" t="s">
        <v>857</v>
      </c>
      <c r="G362" s="98">
        <v>7</v>
      </c>
      <c r="H362" s="99">
        <v>7</v>
      </c>
      <c r="I362" s="98">
        <v>7</v>
      </c>
      <c r="J362" s="98">
        <v>7</v>
      </c>
      <c r="K362" s="98"/>
      <c r="L362" s="100">
        <f t="shared" si="5"/>
        <v>7</v>
      </c>
      <c r="M362" s="92"/>
      <c r="N362" s="65"/>
      <c r="O362" s="65"/>
      <c r="P362" s="65"/>
      <c r="Q362" s="65"/>
    </row>
    <row r="363" spans="1:17" s="64" customFormat="1" ht="18.75" customHeight="1">
      <c r="A363" s="94">
        <v>339</v>
      </c>
      <c r="B363" s="95" t="s">
        <v>1204</v>
      </c>
      <c r="C363" s="117" t="s">
        <v>41</v>
      </c>
      <c r="D363" s="118" t="s">
        <v>241</v>
      </c>
      <c r="E363" s="94" t="s">
        <v>640</v>
      </c>
      <c r="F363" s="101" t="s">
        <v>1331</v>
      </c>
      <c r="G363" s="98">
        <v>7</v>
      </c>
      <c r="H363" s="99">
        <v>6</v>
      </c>
      <c r="I363" s="98">
        <v>7</v>
      </c>
      <c r="J363" s="98">
        <v>7</v>
      </c>
      <c r="K363" s="98"/>
      <c r="L363" s="100">
        <f t="shared" si="5"/>
        <v>6.9</v>
      </c>
      <c r="M363" s="92"/>
      <c r="N363" s="65"/>
      <c r="O363" s="65"/>
      <c r="P363" s="65"/>
      <c r="Q363" s="65"/>
    </row>
    <row r="364" spans="1:17" s="64" customFormat="1" ht="18.75" customHeight="1">
      <c r="A364" s="94">
        <v>340</v>
      </c>
      <c r="B364" s="95" t="s">
        <v>1205</v>
      </c>
      <c r="C364" s="117" t="s">
        <v>208</v>
      </c>
      <c r="D364" s="118" t="s">
        <v>241</v>
      </c>
      <c r="E364" s="94" t="s">
        <v>641</v>
      </c>
      <c r="F364" s="101" t="s">
        <v>1331</v>
      </c>
      <c r="G364" s="98">
        <v>7</v>
      </c>
      <c r="H364" s="99">
        <v>7</v>
      </c>
      <c r="I364" s="98">
        <v>7</v>
      </c>
      <c r="J364" s="98">
        <v>9</v>
      </c>
      <c r="K364" s="98"/>
      <c r="L364" s="100">
        <f t="shared" si="5"/>
        <v>8.2</v>
      </c>
      <c r="M364" s="92"/>
      <c r="N364" s="65"/>
      <c r="O364" s="65"/>
      <c r="P364" s="65"/>
      <c r="Q364" s="65"/>
    </row>
    <row r="365" spans="1:17" s="64" customFormat="1" ht="18.75" customHeight="1">
      <c r="A365" s="94">
        <v>341</v>
      </c>
      <c r="B365" s="95" t="s">
        <v>1206</v>
      </c>
      <c r="C365" s="117" t="s">
        <v>52</v>
      </c>
      <c r="D365" s="118" t="s">
        <v>54</v>
      </c>
      <c r="E365" s="94" t="s">
        <v>827</v>
      </c>
      <c r="F365" s="101" t="s">
        <v>1331</v>
      </c>
      <c r="G365" s="98">
        <v>7</v>
      </c>
      <c r="H365" s="99">
        <v>7</v>
      </c>
      <c r="I365" s="98">
        <v>7</v>
      </c>
      <c r="J365" s="98">
        <v>7</v>
      </c>
      <c r="K365" s="98"/>
      <c r="L365" s="100">
        <f t="shared" si="5"/>
        <v>7</v>
      </c>
      <c r="M365" s="92"/>
      <c r="N365" s="65"/>
      <c r="O365" s="65"/>
      <c r="P365" s="65"/>
      <c r="Q365" s="65"/>
    </row>
    <row r="366" spans="1:17" s="64" customFormat="1" ht="18.75" customHeight="1">
      <c r="A366" s="94">
        <v>342</v>
      </c>
      <c r="B366" s="95" t="s">
        <v>1207</v>
      </c>
      <c r="C366" s="117" t="s">
        <v>69</v>
      </c>
      <c r="D366" s="118" t="s">
        <v>64</v>
      </c>
      <c r="E366" s="94" t="s">
        <v>830</v>
      </c>
      <c r="F366" s="101" t="s">
        <v>1331</v>
      </c>
      <c r="G366" s="98">
        <v>8</v>
      </c>
      <c r="H366" s="99">
        <v>7</v>
      </c>
      <c r="I366" s="98">
        <v>8</v>
      </c>
      <c r="J366" s="98">
        <v>8</v>
      </c>
      <c r="K366" s="98"/>
      <c r="L366" s="100">
        <f t="shared" si="5"/>
        <v>7.9</v>
      </c>
      <c r="M366" s="92"/>
      <c r="N366" s="65"/>
      <c r="O366" s="65"/>
      <c r="P366" s="65"/>
      <c r="Q366" s="65"/>
    </row>
    <row r="367" spans="1:17" s="66" customFormat="1" ht="18.75" customHeight="1">
      <c r="A367" s="114">
        <v>343</v>
      </c>
      <c r="B367" s="105" t="s">
        <v>1208</v>
      </c>
      <c r="C367" s="119" t="s">
        <v>76</v>
      </c>
      <c r="D367" s="120" t="s">
        <v>115</v>
      </c>
      <c r="E367" s="114" t="s">
        <v>828</v>
      </c>
      <c r="F367" s="116" t="s">
        <v>1331</v>
      </c>
      <c r="G367" s="115"/>
      <c r="H367" s="108"/>
      <c r="I367" s="115"/>
      <c r="J367" s="115"/>
      <c r="K367" s="115"/>
      <c r="L367" s="109">
        <f t="shared" si="5"/>
        <v>0</v>
      </c>
      <c r="M367" s="111" t="s">
        <v>1361</v>
      </c>
      <c r="N367" s="79"/>
      <c r="O367" s="79"/>
      <c r="P367" s="79"/>
      <c r="Q367" s="79"/>
    </row>
    <row r="368" spans="1:13" s="65" customFormat="1" ht="18.75" customHeight="1">
      <c r="A368" s="112">
        <v>344</v>
      </c>
      <c r="B368" s="95" t="s">
        <v>1209</v>
      </c>
      <c r="C368" s="122" t="s">
        <v>242</v>
      </c>
      <c r="D368" s="123" t="s">
        <v>243</v>
      </c>
      <c r="E368" s="112" t="s">
        <v>642</v>
      </c>
      <c r="F368" s="113" t="s">
        <v>1331</v>
      </c>
      <c r="G368" s="99">
        <v>7</v>
      </c>
      <c r="H368" s="99">
        <v>7</v>
      </c>
      <c r="I368" s="99">
        <v>7</v>
      </c>
      <c r="J368" s="99">
        <v>5</v>
      </c>
      <c r="K368" s="99"/>
      <c r="L368" s="100">
        <f t="shared" si="5"/>
        <v>5.8</v>
      </c>
      <c r="M368" s="92"/>
    </row>
    <row r="369" spans="1:17" s="64" customFormat="1" ht="18.75" customHeight="1">
      <c r="A369" s="94">
        <v>345</v>
      </c>
      <c r="B369" s="95" t="s">
        <v>1210</v>
      </c>
      <c r="C369" s="117" t="s">
        <v>452</v>
      </c>
      <c r="D369" s="118" t="s">
        <v>119</v>
      </c>
      <c r="E369" s="94" t="s">
        <v>829</v>
      </c>
      <c r="F369" s="101" t="s">
        <v>1331</v>
      </c>
      <c r="G369" s="98">
        <v>7</v>
      </c>
      <c r="H369" s="99">
        <v>5</v>
      </c>
      <c r="I369" s="98">
        <v>7</v>
      </c>
      <c r="J369" s="98">
        <v>8</v>
      </c>
      <c r="K369" s="98"/>
      <c r="L369" s="100">
        <f t="shared" si="5"/>
        <v>7.4</v>
      </c>
      <c r="M369" s="92"/>
      <c r="N369" s="65"/>
      <c r="O369" s="65"/>
      <c r="P369" s="65"/>
      <c r="Q369" s="65"/>
    </row>
    <row r="370" spans="1:17" s="64" customFormat="1" ht="18.75" customHeight="1">
      <c r="A370" s="94"/>
      <c r="B370" s="95"/>
      <c r="C370" s="133" t="s">
        <v>1374</v>
      </c>
      <c r="D370" s="121" t="s">
        <v>1375</v>
      </c>
      <c r="E370" s="121">
        <v>30124</v>
      </c>
      <c r="F370" s="134" t="s">
        <v>1376</v>
      </c>
      <c r="G370" s="98">
        <v>7</v>
      </c>
      <c r="H370" s="99">
        <v>7</v>
      </c>
      <c r="I370" s="98">
        <v>7</v>
      </c>
      <c r="J370" s="98">
        <v>8</v>
      </c>
      <c r="K370" s="98"/>
      <c r="L370" s="100">
        <f t="shared" si="5"/>
        <v>7.6</v>
      </c>
      <c r="M370" s="92" t="s">
        <v>1369</v>
      </c>
      <c r="N370" s="65"/>
      <c r="O370" s="65"/>
      <c r="P370" s="65"/>
      <c r="Q370" s="65"/>
    </row>
    <row r="371" spans="1:17" s="64" customFormat="1" ht="18.75" customHeight="1">
      <c r="A371" s="94">
        <v>346</v>
      </c>
      <c r="B371" s="95" t="s">
        <v>1211</v>
      </c>
      <c r="C371" s="117" t="s">
        <v>256</v>
      </c>
      <c r="D371" s="118" t="s">
        <v>396</v>
      </c>
      <c r="E371" s="94" t="s">
        <v>666</v>
      </c>
      <c r="F371" s="101" t="s">
        <v>1332</v>
      </c>
      <c r="G371" s="98">
        <v>9</v>
      </c>
      <c r="H371" s="99">
        <v>8</v>
      </c>
      <c r="I371" s="98">
        <v>9</v>
      </c>
      <c r="J371" s="98"/>
      <c r="K371" s="98"/>
      <c r="L371" s="100">
        <f t="shared" si="5"/>
        <v>3.5</v>
      </c>
      <c r="M371" s="92"/>
      <c r="N371" s="65"/>
      <c r="O371" s="65"/>
      <c r="P371" s="65"/>
      <c r="Q371" s="65"/>
    </row>
    <row r="372" spans="1:17" s="64" customFormat="1" ht="18.75" customHeight="1">
      <c r="A372" s="94">
        <v>347</v>
      </c>
      <c r="B372" s="95" t="s">
        <v>1212</v>
      </c>
      <c r="C372" s="117" t="s">
        <v>52</v>
      </c>
      <c r="D372" s="118" t="s">
        <v>158</v>
      </c>
      <c r="E372" s="94" t="s">
        <v>665</v>
      </c>
      <c r="F372" s="101" t="s">
        <v>1332</v>
      </c>
      <c r="G372" s="98">
        <v>9</v>
      </c>
      <c r="H372" s="99">
        <v>7</v>
      </c>
      <c r="I372" s="98">
        <v>7</v>
      </c>
      <c r="J372" s="98"/>
      <c r="K372" s="98"/>
      <c r="L372" s="100">
        <f t="shared" si="5"/>
        <v>3</v>
      </c>
      <c r="M372" s="92"/>
      <c r="N372" s="65"/>
      <c r="O372" s="65"/>
      <c r="P372" s="65"/>
      <c r="Q372" s="65"/>
    </row>
    <row r="373" spans="1:17" s="64" customFormat="1" ht="18.75" customHeight="1">
      <c r="A373" s="94">
        <v>348</v>
      </c>
      <c r="B373" s="95" t="s">
        <v>1213</v>
      </c>
      <c r="C373" s="117" t="s">
        <v>71</v>
      </c>
      <c r="D373" s="118" t="s">
        <v>44</v>
      </c>
      <c r="E373" s="94" t="s">
        <v>838</v>
      </c>
      <c r="F373" s="101" t="s">
        <v>1332</v>
      </c>
      <c r="G373" s="98">
        <v>9</v>
      </c>
      <c r="H373" s="99">
        <v>9</v>
      </c>
      <c r="I373" s="98">
        <v>9</v>
      </c>
      <c r="J373" s="98"/>
      <c r="K373" s="98"/>
      <c r="L373" s="100">
        <f t="shared" si="5"/>
        <v>3.6</v>
      </c>
      <c r="M373" s="92"/>
      <c r="N373" s="65"/>
      <c r="O373" s="65"/>
      <c r="P373" s="65"/>
      <c r="Q373" s="65"/>
    </row>
    <row r="374" spans="1:17" s="66" customFormat="1" ht="18.75" customHeight="1">
      <c r="A374" s="114">
        <v>349</v>
      </c>
      <c r="B374" s="105" t="s">
        <v>1214</v>
      </c>
      <c r="C374" s="119" t="s">
        <v>245</v>
      </c>
      <c r="D374" s="120" t="s">
        <v>45</v>
      </c>
      <c r="E374" s="114" t="s">
        <v>644</v>
      </c>
      <c r="F374" s="116" t="s">
        <v>1333</v>
      </c>
      <c r="G374" s="115"/>
      <c r="H374" s="108"/>
      <c r="I374" s="115"/>
      <c r="J374" s="115"/>
      <c r="K374" s="115"/>
      <c r="L374" s="109">
        <f t="shared" si="5"/>
        <v>0</v>
      </c>
      <c r="M374" s="111" t="s">
        <v>1395</v>
      </c>
      <c r="N374" s="79"/>
      <c r="O374" s="79"/>
      <c r="P374" s="79"/>
      <c r="Q374" s="79"/>
    </row>
    <row r="375" spans="1:17" s="64" customFormat="1" ht="18.75" customHeight="1">
      <c r="A375" s="94">
        <v>350</v>
      </c>
      <c r="B375" s="95" t="s">
        <v>1215</v>
      </c>
      <c r="C375" s="117" t="s">
        <v>208</v>
      </c>
      <c r="D375" s="118" t="s">
        <v>343</v>
      </c>
      <c r="E375" s="94" t="s">
        <v>831</v>
      </c>
      <c r="F375" s="101" t="s">
        <v>1333</v>
      </c>
      <c r="G375" s="98">
        <v>7</v>
      </c>
      <c r="H375" s="99">
        <v>8</v>
      </c>
      <c r="I375" s="98">
        <v>7</v>
      </c>
      <c r="J375" s="98">
        <v>6</v>
      </c>
      <c r="K375" s="98"/>
      <c r="L375" s="100">
        <f t="shared" si="5"/>
        <v>6.5</v>
      </c>
      <c r="M375" s="92"/>
      <c r="N375" s="65"/>
      <c r="O375" s="65"/>
      <c r="P375" s="65"/>
      <c r="Q375" s="65"/>
    </row>
    <row r="376" spans="1:17" s="64" customFormat="1" ht="18.75" customHeight="1">
      <c r="A376" s="94">
        <v>351</v>
      </c>
      <c r="B376" s="95" t="s">
        <v>1216</v>
      </c>
      <c r="C376" s="117" t="s">
        <v>41</v>
      </c>
      <c r="D376" s="118" t="s">
        <v>345</v>
      </c>
      <c r="E376" s="94" t="s">
        <v>834</v>
      </c>
      <c r="F376" s="101" t="s">
        <v>1333</v>
      </c>
      <c r="G376" s="98">
        <v>8</v>
      </c>
      <c r="H376" s="99">
        <v>8</v>
      </c>
      <c r="I376" s="98">
        <v>8</v>
      </c>
      <c r="J376" s="98">
        <v>7</v>
      </c>
      <c r="K376" s="98"/>
      <c r="L376" s="100">
        <f t="shared" si="5"/>
        <v>7.4</v>
      </c>
      <c r="M376" s="92"/>
      <c r="N376" s="65"/>
      <c r="O376" s="65"/>
      <c r="P376" s="65"/>
      <c r="Q376" s="65"/>
    </row>
    <row r="377" spans="1:17" s="64" customFormat="1" ht="18.75" customHeight="1">
      <c r="A377" s="94">
        <v>352</v>
      </c>
      <c r="B377" s="95" t="s">
        <v>1217</v>
      </c>
      <c r="C377" s="117" t="s">
        <v>131</v>
      </c>
      <c r="D377" s="118" t="s">
        <v>320</v>
      </c>
      <c r="E377" s="94" t="s">
        <v>782</v>
      </c>
      <c r="F377" s="101" t="s">
        <v>1333</v>
      </c>
      <c r="G377" s="98">
        <v>6</v>
      </c>
      <c r="H377" s="99">
        <v>7</v>
      </c>
      <c r="I377" s="98">
        <v>5.5</v>
      </c>
      <c r="J377" s="98">
        <v>7</v>
      </c>
      <c r="K377" s="98"/>
      <c r="L377" s="100">
        <f t="shared" si="5"/>
        <v>6.6</v>
      </c>
      <c r="M377" s="92"/>
      <c r="N377" s="65"/>
      <c r="O377" s="65"/>
      <c r="P377" s="65"/>
      <c r="Q377" s="65"/>
    </row>
    <row r="378" spans="1:17" s="64" customFormat="1" ht="18.75" customHeight="1">
      <c r="A378" s="94">
        <v>353</v>
      </c>
      <c r="B378" s="95" t="s">
        <v>1218</v>
      </c>
      <c r="C378" s="117" t="s">
        <v>255</v>
      </c>
      <c r="D378" s="118" t="s">
        <v>48</v>
      </c>
      <c r="E378" s="94" t="s">
        <v>663</v>
      </c>
      <c r="F378" s="101" t="s">
        <v>1333</v>
      </c>
      <c r="G378" s="98">
        <v>6</v>
      </c>
      <c r="H378" s="99">
        <v>7</v>
      </c>
      <c r="I378" s="98">
        <v>6</v>
      </c>
      <c r="J378" s="98">
        <v>7</v>
      </c>
      <c r="K378" s="98"/>
      <c r="L378" s="100">
        <f t="shared" si="5"/>
        <v>6.7</v>
      </c>
      <c r="M378" s="92"/>
      <c r="N378" s="65"/>
      <c r="O378" s="65"/>
      <c r="P378" s="65"/>
      <c r="Q378" s="65"/>
    </row>
    <row r="379" spans="1:17" s="67" customFormat="1" ht="18.75" customHeight="1">
      <c r="A379" s="114">
        <v>354</v>
      </c>
      <c r="B379" s="105" t="s">
        <v>1219</v>
      </c>
      <c r="C379" s="119" t="s">
        <v>248</v>
      </c>
      <c r="D379" s="120" t="s">
        <v>48</v>
      </c>
      <c r="E379" s="114" t="s">
        <v>651</v>
      </c>
      <c r="F379" s="116" t="s">
        <v>1333</v>
      </c>
      <c r="G379" s="115"/>
      <c r="H379" s="108"/>
      <c r="I379" s="115"/>
      <c r="J379" s="115"/>
      <c r="K379" s="115"/>
      <c r="L379" s="109">
        <f t="shared" si="5"/>
        <v>0</v>
      </c>
      <c r="M379" s="111" t="s">
        <v>1361</v>
      </c>
      <c r="N379" s="79"/>
      <c r="O379" s="79"/>
      <c r="P379" s="79"/>
      <c r="Q379" s="79"/>
    </row>
    <row r="380" spans="1:17" s="64" customFormat="1" ht="18.75" customHeight="1">
      <c r="A380" s="94">
        <v>355</v>
      </c>
      <c r="B380" s="124" t="s">
        <v>1220</v>
      </c>
      <c r="C380" s="125" t="s">
        <v>208</v>
      </c>
      <c r="D380" s="126" t="s">
        <v>49</v>
      </c>
      <c r="E380" s="127" t="s">
        <v>833</v>
      </c>
      <c r="F380" s="101" t="s">
        <v>1333</v>
      </c>
      <c r="G380" s="128">
        <v>6</v>
      </c>
      <c r="H380" s="99">
        <v>8</v>
      </c>
      <c r="I380" s="128">
        <v>5</v>
      </c>
      <c r="J380" s="128">
        <v>6</v>
      </c>
      <c r="K380" s="128"/>
      <c r="L380" s="129">
        <f t="shared" si="5"/>
        <v>6</v>
      </c>
      <c r="M380" s="92"/>
      <c r="N380" s="65"/>
      <c r="O380" s="65"/>
      <c r="P380" s="65"/>
      <c r="Q380" s="65"/>
    </row>
    <row r="381" spans="1:17" s="64" customFormat="1" ht="18.75" customHeight="1">
      <c r="A381" s="94">
        <v>356</v>
      </c>
      <c r="B381" s="95" t="s">
        <v>1221</v>
      </c>
      <c r="C381" s="117" t="s">
        <v>244</v>
      </c>
      <c r="D381" s="118" t="s">
        <v>49</v>
      </c>
      <c r="E381" s="94" t="s">
        <v>643</v>
      </c>
      <c r="F381" s="101" t="s">
        <v>1333</v>
      </c>
      <c r="G381" s="98">
        <v>7</v>
      </c>
      <c r="H381" s="99">
        <v>7</v>
      </c>
      <c r="I381" s="98">
        <v>6.5</v>
      </c>
      <c r="J381" s="98">
        <v>8</v>
      </c>
      <c r="K381" s="98"/>
      <c r="L381" s="100">
        <f t="shared" si="5"/>
        <v>7.5</v>
      </c>
      <c r="M381" s="92"/>
      <c r="N381" s="65"/>
      <c r="O381" s="65"/>
      <c r="P381" s="65"/>
      <c r="Q381" s="65"/>
    </row>
    <row r="382" spans="1:17" s="64" customFormat="1" ht="18.75" customHeight="1">
      <c r="A382" s="94">
        <v>357</v>
      </c>
      <c r="B382" s="95" t="s">
        <v>1222</v>
      </c>
      <c r="C382" s="117" t="s">
        <v>41</v>
      </c>
      <c r="D382" s="118" t="s">
        <v>80</v>
      </c>
      <c r="E382" s="94" t="s">
        <v>626</v>
      </c>
      <c r="F382" s="101" t="s">
        <v>1333</v>
      </c>
      <c r="G382" s="98">
        <v>8</v>
      </c>
      <c r="H382" s="99">
        <v>7</v>
      </c>
      <c r="I382" s="98">
        <v>8</v>
      </c>
      <c r="J382" s="98">
        <v>6</v>
      </c>
      <c r="K382" s="98"/>
      <c r="L382" s="100">
        <f t="shared" si="5"/>
        <v>6.7</v>
      </c>
      <c r="M382" s="92"/>
      <c r="N382" s="65"/>
      <c r="O382" s="65"/>
      <c r="P382" s="65"/>
      <c r="Q382" s="65"/>
    </row>
    <row r="383" spans="1:17" s="64" customFormat="1" ht="18.75" customHeight="1">
      <c r="A383" s="94"/>
      <c r="B383" s="95"/>
      <c r="C383" s="133" t="s">
        <v>338</v>
      </c>
      <c r="D383" s="118" t="s">
        <v>46</v>
      </c>
      <c r="E383" s="135">
        <v>31185</v>
      </c>
      <c r="F383" s="101" t="s">
        <v>1333</v>
      </c>
      <c r="G383" s="98">
        <v>7</v>
      </c>
      <c r="H383" s="99">
        <v>7</v>
      </c>
      <c r="I383" s="98">
        <v>7</v>
      </c>
      <c r="J383" s="98">
        <v>6</v>
      </c>
      <c r="K383" s="98"/>
      <c r="L383" s="100">
        <f t="shared" si="5"/>
        <v>6.4</v>
      </c>
      <c r="M383" s="92" t="s">
        <v>1369</v>
      </c>
      <c r="N383" s="65"/>
      <c r="O383" s="65"/>
      <c r="P383" s="65"/>
      <c r="Q383" s="65"/>
    </row>
    <row r="384" spans="1:17" s="64" customFormat="1" ht="18.75" customHeight="1">
      <c r="A384" s="94">
        <v>358</v>
      </c>
      <c r="B384" s="95" t="s">
        <v>1223</v>
      </c>
      <c r="C384" s="117" t="s">
        <v>85</v>
      </c>
      <c r="D384" s="118" t="s">
        <v>111</v>
      </c>
      <c r="E384" s="94" t="s">
        <v>837</v>
      </c>
      <c r="F384" s="101" t="s">
        <v>1332</v>
      </c>
      <c r="G384" s="98">
        <v>9</v>
      </c>
      <c r="H384" s="99">
        <v>8</v>
      </c>
      <c r="I384" s="98">
        <v>8</v>
      </c>
      <c r="J384" s="98"/>
      <c r="K384" s="98"/>
      <c r="L384" s="100">
        <f t="shared" si="5"/>
        <v>3.3</v>
      </c>
      <c r="M384" s="92"/>
      <c r="N384" s="65"/>
      <c r="O384" s="65"/>
      <c r="P384" s="65"/>
      <c r="Q384" s="65"/>
    </row>
    <row r="385" spans="1:17" s="64" customFormat="1" ht="18.75" customHeight="1">
      <c r="A385" s="94">
        <v>359</v>
      </c>
      <c r="B385" s="95" t="s">
        <v>1224</v>
      </c>
      <c r="C385" s="117" t="s">
        <v>52</v>
      </c>
      <c r="D385" s="118" t="s">
        <v>53</v>
      </c>
      <c r="E385" s="94" t="s">
        <v>839</v>
      </c>
      <c r="F385" s="101" t="s">
        <v>1332</v>
      </c>
      <c r="G385" s="98">
        <v>9</v>
      </c>
      <c r="H385" s="99">
        <v>8</v>
      </c>
      <c r="I385" s="98">
        <v>9</v>
      </c>
      <c r="J385" s="98"/>
      <c r="K385" s="98"/>
      <c r="L385" s="100">
        <f t="shared" si="5"/>
        <v>3.5</v>
      </c>
      <c r="M385" s="92"/>
      <c r="N385" s="65"/>
      <c r="O385" s="65"/>
      <c r="P385" s="65"/>
      <c r="Q385" s="65"/>
    </row>
    <row r="386" spans="1:17" s="64" customFormat="1" ht="18.75" customHeight="1">
      <c r="A386" s="94">
        <v>360</v>
      </c>
      <c r="B386" s="95" t="s">
        <v>1225</v>
      </c>
      <c r="C386" s="117" t="s">
        <v>122</v>
      </c>
      <c r="D386" s="118" t="s">
        <v>81</v>
      </c>
      <c r="E386" s="94" t="s">
        <v>649</v>
      </c>
      <c r="F386" s="101" t="s">
        <v>1333</v>
      </c>
      <c r="G386" s="98">
        <v>7</v>
      </c>
      <c r="H386" s="99">
        <v>8</v>
      </c>
      <c r="I386" s="98">
        <v>7</v>
      </c>
      <c r="J386" s="98">
        <v>6</v>
      </c>
      <c r="K386" s="98"/>
      <c r="L386" s="100">
        <f t="shared" si="5"/>
        <v>6.5</v>
      </c>
      <c r="M386" s="92"/>
      <c r="N386" s="65"/>
      <c r="O386" s="65"/>
      <c r="P386" s="65"/>
      <c r="Q386" s="65"/>
    </row>
    <row r="387" spans="1:17" s="64" customFormat="1" ht="18.75" customHeight="1">
      <c r="A387" s="94">
        <v>361</v>
      </c>
      <c r="B387" s="95" t="s">
        <v>1226</v>
      </c>
      <c r="C387" s="117" t="s">
        <v>41</v>
      </c>
      <c r="D387" s="118" t="s">
        <v>81</v>
      </c>
      <c r="E387" s="94" t="s">
        <v>652</v>
      </c>
      <c r="F387" s="101" t="s">
        <v>1333</v>
      </c>
      <c r="G387" s="98">
        <v>6</v>
      </c>
      <c r="H387" s="99">
        <v>7</v>
      </c>
      <c r="I387" s="98">
        <v>6</v>
      </c>
      <c r="J387" s="98">
        <v>6</v>
      </c>
      <c r="K387" s="98"/>
      <c r="L387" s="100">
        <f t="shared" si="5"/>
        <v>6.1</v>
      </c>
      <c r="M387" s="92"/>
      <c r="N387" s="65"/>
      <c r="O387" s="65"/>
      <c r="P387" s="65"/>
      <c r="Q387" s="65"/>
    </row>
    <row r="388" spans="1:17" s="64" customFormat="1" ht="18.75" customHeight="1">
      <c r="A388" s="94">
        <v>362</v>
      </c>
      <c r="B388" s="95" t="s">
        <v>1227</v>
      </c>
      <c r="C388" s="117" t="s">
        <v>347</v>
      </c>
      <c r="D388" s="118" t="s">
        <v>57</v>
      </c>
      <c r="E388" s="94" t="s">
        <v>532</v>
      </c>
      <c r="F388" s="101" t="s">
        <v>1332</v>
      </c>
      <c r="G388" s="98">
        <v>9</v>
      </c>
      <c r="H388" s="99">
        <v>8</v>
      </c>
      <c r="I388" s="98">
        <v>8</v>
      </c>
      <c r="J388" s="98"/>
      <c r="K388" s="98"/>
      <c r="L388" s="100">
        <f t="shared" si="5"/>
        <v>3.3</v>
      </c>
      <c r="M388" s="92"/>
      <c r="N388" s="65"/>
      <c r="O388" s="65"/>
      <c r="P388" s="65"/>
      <c r="Q388" s="65"/>
    </row>
    <row r="389" spans="1:17" s="64" customFormat="1" ht="18.75" customHeight="1">
      <c r="A389" s="94">
        <v>363</v>
      </c>
      <c r="B389" s="95" t="s">
        <v>1228</v>
      </c>
      <c r="C389" s="117" t="s">
        <v>41</v>
      </c>
      <c r="D389" s="118" t="s">
        <v>57</v>
      </c>
      <c r="E389" s="94" t="s">
        <v>784</v>
      </c>
      <c r="F389" s="101" t="s">
        <v>1332</v>
      </c>
      <c r="G389" s="98">
        <v>9</v>
      </c>
      <c r="H389" s="99">
        <v>9</v>
      </c>
      <c r="I389" s="98">
        <v>9</v>
      </c>
      <c r="J389" s="98"/>
      <c r="K389" s="98"/>
      <c r="L389" s="100">
        <f t="shared" si="5"/>
        <v>3.6</v>
      </c>
      <c r="M389" s="92"/>
      <c r="N389" s="65"/>
      <c r="O389" s="65"/>
      <c r="P389" s="65"/>
      <c r="Q389" s="65"/>
    </row>
    <row r="390" spans="1:17" s="64" customFormat="1" ht="18.75" customHeight="1">
      <c r="A390" s="94">
        <v>364</v>
      </c>
      <c r="B390" s="95" t="s">
        <v>1229</v>
      </c>
      <c r="C390" s="117" t="s">
        <v>246</v>
      </c>
      <c r="D390" s="118" t="s">
        <v>57</v>
      </c>
      <c r="E390" s="94" t="s">
        <v>645</v>
      </c>
      <c r="F390" s="101" t="s">
        <v>1333</v>
      </c>
      <c r="G390" s="98">
        <v>6</v>
      </c>
      <c r="H390" s="99">
        <v>8</v>
      </c>
      <c r="I390" s="98">
        <v>5</v>
      </c>
      <c r="J390" s="98">
        <v>7</v>
      </c>
      <c r="K390" s="98"/>
      <c r="L390" s="100">
        <f t="shared" si="5"/>
        <v>6.6</v>
      </c>
      <c r="M390" s="92"/>
      <c r="N390" s="65"/>
      <c r="O390" s="65"/>
      <c r="P390" s="65"/>
      <c r="Q390" s="65"/>
    </row>
    <row r="391" spans="1:17" s="64" customFormat="1" ht="18.75" customHeight="1">
      <c r="A391" s="94">
        <v>365</v>
      </c>
      <c r="B391" s="95" t="s">
        <v>1230</v>
      </c>
      <c r="C391" s="117" t="s">
        <v>254</v>
      </c>
      <c r="D391" s="118" t="s">
        <v>58</v>
      </c>
      <c r="E391" s="94" t="s">
        <v>660</v>
      </c>
      <c r="F391" s="101" t="s">
        <v>1333</v>
      </c>
      <c r="G391" s="98">
        <v>6</v>
      </c>
      <c r="H391" s="99">
        <v>7</v>
      </c>
      <c r="I391" s="98">
        <v>5.5</v>
      </c>
      <c r="J391" s="98">
        <v>7</v>
      </c>
      <c r="K391" s="98"/>
      <c r="L391" s="100">
        <f t="shared" si="5"/>
        <v>6.6</v>
      </c>
      <c r="M391" s="92"/>
      <c r="N391" s="65"/>
      <c r="O391" s="65"/>
      <c r="P391" s="65"/>
      <c r="Q391" s="65"/>
    </row>
    <row r="392" spans="1:17" s="68" customFormat="1" ht="18.75" customHeight="1">
      <c r="A392" s="94">
        <v>366</v>
      </c>
      <c r="B392" s="95" t="s">
        <v>1231</v>
      </c>
      <c r="C392" s="117" t="s">
        <v>93</v>
      </c>
      <c r="D392" s="118" t="s">
        <v>321</v>
      </c>
      <c r="E392" s="94" t="s">
        <v>783</v>
      </c>
      <c r="F392" s="101" t="s">
        <v>1332</v>
      </c>
      <c r="G392" s="98">
        <v>9</v>
      </c>
      <c r="H392" s="99">
        <v>9</v>
      </c>
      <c r="I392" s="98">
        <v>9</v>
      </c>
      <c r="J392" s="98"/>
      <c r="K392" s="98"/>
      <c r="L392" s="100">
        <f t="shared" si="5"/>
        <v>3.6</v>
      </c>
      <c r="M392" s="92"/>
      <c r="N392" s="65"/>
      <c r="O392" s="65"/>
      <c r="P392" s="65"/>
      <c r="Q392" s="65"/>
    </row>
    <row r="393" spans="1:17" s="68" customFormat="1" ht="18.75" customHeight="1">
      <c r="A393" s="94">
        <v>367</v>
      </c>
      <c r="B393" s="95" t="s">
        <v>1232</v>
      </c>
      <c r="C393" s="117" t="s">
        <v>247</v>
      </c>
      <c r="D393" s="118" t="s">
        <v>113</v>
      </c>
      <c r="E393" s="94" t="s">
        <v>647</v>
      </c>
      <c r="F393" s="101" t="s">
        <v>1333</v>
      </c>
      <c r="G393" s="98">
        <v>8</v>
      </c>
      <c r="H393" s="99">
        <v>6</v>
      </c>
      <c r="I393" s="98">
        <v>8</v>
      </c>
      <c r="J393" s="98">
        <v>8</v>
      </c>
      <c r="K393" s="98"/>
      <c r="L393" s="100">
        <f t="shared" si="5"/>
        <v>7.8</v>
      </c>
      <c r="M393" s="92"/>
      <c r="N393" s="65"/>
      <c r="O393" s="65"/>
      <c r="P393" s="65"/>
      <c r="Q393" s="65"/>
    </row>
    <row r="394" spans="1:17" s="64" customFormat="1" ht="18.75" customHeight="1">
      <c r="A394" s="94">
        <v>368</v>
      </c>
      <c r="B394" s="95" t="s">
        <v>1233</v>
      </c>
      <c r="C394" s="117" t="s">
        <v>249</v>
      </c>
      <c r="D394" s="118" t="s">
        <v>191</v>
      </c>
      <c r="E394" s="94" t="s">
        <v>653</v>
      </c>
      <c r="F394" s="101" t="s">
        <v>1333</v>
      </c>
      <c r="G394" s="98">
        <v>8</v>
      </c>
      <c r="H394" s="99">
        <v>5</v>
      </c>
      <c r="I394" s="98">
        <v>8</v>
      </c>
      <c r="J394" s="98">
        <v>7</v>
      </c>
      <c r="K394" s="98"/>
      <c r="L394" s="100">
        <f t="shared" si="5"/>
        <v>7.1</v>
      </c>
      <c r="M394" s="92"/>
      <c r="N394" s="65"/>
      <c r="O394" s="65"/>
      <c r="P394" s="65"/>
      <c r="Q394" s="65"/>
    </row>
    <row r="395" spans="1:17" s="68" customFormat="1" ht="18.75" customHeight="1">
      <c r="A395" s="94">
        <v>369</v>
      </c>
      <c r="B395" s="95" t="s">
        <v>1234</v>
      </c>
      <c r="C395" s="117" t="s">
        <v>82</v>
      </c>
      <c r="D395" s="118" t="s">
        <v>253</v>
      </c>
      <c r="E395" s="94" t="s">
        <v>659</v>
      </c>
      <c r="F395" s="101" t="s">
        <v>1333</v>
      </c>
      <c r="G395" s="98">
        <v>8</v>
      </c>
      <c r="H395" s="99">
        <v>7</v>
      </c>
      <c r="I395" s="98">
        <v>8</v>
      </c>
      <c r="J395" s="98">
        <v>7</v>
      </c>
      <c r="K395" s="98"/>
      <c r="L395" s="100">
        <f t="shared" si="5"/>
        <v>7.3</v>
      </c>
      <c r="M395" s="92"/>
      <c r="N395" s="65"/>
      <c r="O395" s="65"/>
      <c r="P395" s="65"/>
      <c r="Q395" s="65"/>
    </row>
    <row r="396" spans="1:17" s="68" customFormat="1" ht="18.75" customHeight="1">
      <c r="A396" s="94">
        <v>370</v>
      </c>
      <c r="B396" s="95" t="s">
        <v>1235</v>
      </c>
      <c r="C396" s="117" t="s">
        <v>252</v>
      </c>
      <c r="D396" s="118" t="s">
        <v>116</v>
      </c>
      <c r="E396" s="94" t="s">
        <v>658</v>
      </c>
      <c r="F396" s="101" t="s">
        <v>1333</v>
      </c>
      <c r="G396" s="98">
        <v>7</v>
      </c>
      <c r="H396" s="99">
        <v>7</v>
      </c>
      <c r="I396" s="98">
        <v>7</v>
      </c>
      <c r="J396" s="98">
        <v>6</v>
      </c>
      <c r="K396" s="98"/>
      <c r="L396" s="100">
        <f t="shared" si="5"/>
        <v>6.4</v>
      </c>
      <c r="M396" s="92"/>
      <c r="N396" s="65"/>
      <c r="O396" s="65"/>
      <c r="P396" s="65"/>
      <c r="Q396" s="65"/>
    </row>
    <row r="397" spans="1:17" s="64" customFormat="1" ht="18.75" customHeight="1">
      <c r="A397" s="94">
        <v>371</v>
      </c>
      <c r="B397" s="95" t="s">
        <v>1236</v>
      </c>
      <c r="C397" s="117" t="s">
        <v>865</v>
      </c>
      <c r="D397" s="118" t="s">
        <v>62</v>
      </c>
      <c r="E397" s="94" t="s">
        <v>664</v>
      </c>
      <c r="F397" s="101" t="s">
        <v>1333</v>
      </c>
      <c r="G397" s="98">
        <v>7</v>
      </c>
      <c r="H397" s="99">
        <v>7</v>
      </c>
      <c r="I397" s="98">
        <v>7</v>
      </c>
      <c r="J397" s="98">
        <v>6</v>
      </c>
      <c r="K397" s="98"/>
      <c r="L397" s="100">
        <f t="shared" si="5"/>
        <v>6.4</v>
      </c>
      <c r="M397" s="92"/>
      <c r="N397" s="65"/>
      <c r="O397" s="65"/>
      <c r="P397" s="65"/>
      <c r="Q397" s="65"/>
    </row>
    <row r="398" spans="1:17" s="66" customFormat="1" ht="18.75" customHeight="1">
      <c r="A398" s="114">
        <v>372</v>
      </c>
      <c r="B398" s="105" t="s">
        <v>1237</v>
      </c>
      <c r="C398" s="119" t="s">
        <v>344</v>
      </c>
      <c r="D398" s="120" t="s">
        <v>453</v>
      </c>
      <c r="E398" s="114" t="s">
        <v>832</v>
      </c>
      <c r="F398" s="116" t="s">
        <v>1333</v>
      </c>
      <c r="G398" s="115"/>
      <c r="H398" s="108"/>
      <c r="I398" s="115"/>
      <c r="J398" s="115"/>
      <c r="K398" s="115"/>
      <c r="L398" s="109">
        <f t="shared" si="5"/>
        <v>0</v>
      </c>
      <c r="M398" s="111"/>
      <c r="N398" s="79"/>
      <c r="O398" s="79"/>
      <c r="P398" s="79"/>
      <c r="Q398" s="79"/>
    </row>
    <row r="399" spans="1:17" s="64" customFormat="1" ht="18.75" customHeight="1">
      <c r="A399" s="94">
        <v>373</v>
      </c>
      <c r="B399" s="95" t="s">
        <v>1238</v>
      </c>
      <c r="C399" s="117" t="s">
        <v>250</v>
      </c>
      <c r="D399" s="118" t="s">
        <v>410</v>
      </c>
      <c r="E399" s="94" t="s">
        <v>654</v>
      </c>
      <c r="F399" s="101" t="s">
        <v>1333</v>
      </c>
      <c r="G399" s="98">
        <v>6</v>
      </c>
      <c r="H399" s="99">
        <v>8</v>
      </c>
      <c r="I399" s="98">
        <v>6</v>
      </c>
      <c r="J399" s="98">
        <v>8</v>
      </c>
      <c r="K399" s="98"/>
      <c r="L399" s="100">
        <f t="shared" si="5"/>
        <v>7.4</v>
      </c>
      <c r="M399" s="92"/>
      <c r="N399" s="65"/>
      <c r="O399" s="65"/>
      <c r="P399" s="65"/>
      <c r="Q399" s="65"/>
    </row>
    <row r="400" spans="1:13" s="65" customFormat="1" ht="18.75" customHeight="1">
      <c r="A400" s="94">
        <v>374</v>
      </c>
      <c r="B400" s="95" t="s">
        <v>1239</v>
      </c>
      <c r="C400" s="122" t="s">
        <v>157</v>
      </c>
      <c r="D400" s="123" t="s">
        <v>64</v>
      </c>
      <c r="E400" s="112" t="s">
        <v>650</v>
      </c>
      <c r="F400" s="113" t="s">
        <v>1333</v>
      </c>
      <c r="G400" s="99">
        <v>6</v>
      </c>
      <c r="H400" s="99">
        <v>6</v>
      </c>
      <c r="I400" s="99">
        <v>6</v>
      </c>
      <c r="J400" s="99">
        <v>7</v>
      </c>
      <c r="K400" s="99"/>
      <c r="L400" s="100">
        <f t="shared" si="5"/>
        <v>6.6</v>
      </c>
      <c r="M400" s="92"/>
    </row>
    <row r="401" spans="1:17" s="64" customFormat="1" ht="18.75" customHeight="1">
      <c r="A401" s="94">
        <v>375</v>
      </c>
      <c r="B401" s="95" t="s">
        <v>1240</v>
      </c>
      <c r="C401" s="117" t="s">
        <v>41</v>
      </c>
      <c r="D401" s="118" t="s">
        <v>346</v>
      </c>
      <c r="E401" s="94" t="s">
        <v>835</v>
      </c>
      <c r="F401" s="101" t="s">
        <v>1333</v>
      </c>
      <c r="G401" s="98">
        <v>6</v>
      </c>
      <c r="H401" s="99"/>
      <c r="I401" s="98">
        <v>4</v>
      </c>
      <c r="J401" s="98"/>
      <c r="K401" s="98"/>
      <c r="L401" s="100">
        <f t="shared" si="5"/>
        <v>1.4</v>
      </c>
      <c r="M401" s="92" t="s">
        <v>1351</v>
      </c>
      <c r="N401" s="65"/>
      <c r="O401" s="65"/>
      <c r="P401" s="65"/>
      <c r="Q401" s="65"/>
    </row>
    <row r="402" spans="1:17" s="64" customFormat="1" ht="18.75" customHeight="1">
      <c r="A402" s="94">
        <v>376</v>
      </c>
      <c r="B402" s="95" t="s">
        <v>1241</v>
      </c>
      <c r="C402" s="117" t="s">
        <v>41</v>
      </c>
      <c r="D402" s="118" t="s">
        <v>146</v>
      </c>
      <c r="E402" s="94" t="s">
        <v>655</v>
      </c>
      <c r="F402" s="101" t="s">
        <v>1333</v>
      </c>
      <c r="G402" s="98">
        <v>7</v>
      </c>
      <c r="H402" s="99">
        <v>6</v>
      </c>
      <c r="I402" s="98">
        <v>7</v>
      </c>
      <c r="J402" s="98">
        <v>6</v>
      </c>
      <c r="K402" s="98"/>
      <c r="L402" s="100">
        <f t="shared" si="5"/>
        <v>6.3</v>
      </c>
      <c r="M402" s="92"/>
      <c r="N402" s="65"/>
      <c r="O402" s="65"/>
      <c r="P402" s="65"/>
      <c r="Q402" s="65"/>
    </row>
    <row r="403" spans="1:17" s="64" customFormat="1" ht="18.75" customHeight="1">
      <c r="A403" s="94">
        <v>377</v>
      </c>
      <c r="B403" s="95" t="s">
        <v>1242</v>
      </c>
      <c r="C403" s="117" t="s">
        <v>411</v>
      </c>
      <c r="D403" s="118" t="s">
        <v>146</v>
      </c>
      <c r="E403" s="94" t="s">
        <v>662</v>
      </c>
      <c r="F403" s="101" t="s">
        <v>1333</v>
      </c>
      <c r="G403" s="128"/>
      <c r="H403" s="99">
        <v>6</v>
      </c>
      <c r="I403" s="128">
        <v>0</v>
      </c>
      <c r="J403" s="98">
        <v>7</v>
      </c>
      <c r="K403" s="98"/>
      <c r="L403" s="100">
        <f t="shared" si="5"/>
        <v>4.8</v>
      </c>
      <c r="M403" s="92" t="s">
        <v>1363</v>
      </c>
      <c r="N403" s="65"/>
      <c r="O403" s="65"/>
      <c r="P403" s="65"/>
      <c r="Q403" s="65"/>
    </row>
    <row r="404" spans="1:17" s="64" customFormat="1" ht="18.75" customHeight="1">
      <c r="A404" s="94">
        <v>378</v>
      </c>
      <c r="B404" s="95" t="s">
        <v>1243</v>
      </c>
      <c r="C404" s="117" t="s">
        <v>454</v>
      </c>
      <c r="D404" s="118" t="s">
        <v>115</v>
      </c>
      <c r="E404" s="94" t="s">
        <v>836</v>
      </c>
      <c r="F404" s="101" t="s">
        <v>1332</v>
      </c>
      <c r="G404" s="98">
        <v>7</v>
      </c>
      <c r="H404" s="99">
        <v>8</v>
      </c>
      <c r="I404" s="98">
        <v>8</v>
      </c>
      <c r="J404" s="98"/>
      <c r="K404" s="98"/>
      <c r="L404" s="100">
        <f t="shared" si="5"/>
        <v>3.1</v>
      </c>
      <c r="M404" s="92"/>
      <c r="N404" s="65"/>
      <c r="O404" s="65"/>
      <c r="P404" s="65"/>
      <c r="Q404" s="65"/>
    </row>
    <row r="405" spans="1:17" s="64" customFormat="1" ht="18.75" customHeight="1">
      <c r="A405" s="94">
        <v>379</v>
      </c>
      <c r="B405" s="95" t="s">
        <v>1244</v>
      </c>
      <c r="C405" s="117" t="s">
        <v>41</v>
      </c>
      <c r="D405" s="118" t="s">
        <v>251</v>
      </c>
      <c r="E405" s="94" t="s">
        <v>656</v>
      </c>
      <c r="F405" s="101" t="s">
        <v>1333</v>
      </c>
      <c r="G405" s="98">
        <v>6</v>
      </c>
      <c r="H405" s="99">
        <v>7</v>
      </c>
      <c r="I405" s="98">
        <v>6</v>
      </c>
      <c r="J405" s="98">
        <v>8</v>
      </c>
      <c r="K405" s="98"/>
      <c r="L405" s="100">
        <f t="shared" si="5"/>
        <v>7.3</v>
      </c>
      <c r="M405" s="92"/>
      <c r="N405" s="65"/>
      <c r="O405" s="65"/>
      <c r="P405" s="65"/>
      <c r="Q405" s="65"/>
    </row>
    <row r="406" spans="1:17" s="64" customFormat="1" ht="18.75" customHeight="1">
      <c r="A406" s="94">
        <v>380</v>
      </c>
      <c r="B406" s="95" t="s">
        <v>1245</v>
      </c>
      <c r="C406" s="117" t="s">
        <v>327</v>
      </c>
      <c r="D406" s="118" t="s">
        <v>218</v>
      </c>
      <c r="E406" s="94" t="s">
        <v>793</v>
      </c>
      <c r="F406" s="101" t="s">
        <v>1333</v>
      </c>
      <c r="G406" s="98">
        <v>6</v>
      </c>
      <c r="H406" s="99">
        <v>6</v>
      </c>
      <c r="I406" s="98">
        <v>3</v>
      </c>
      <c r="J406" s="98">
        <v>5</v>
      </c>
      <c r="K406" s="98"/>
      <c r="L406" s="100">
        <f t="shared" si="5"/>
        <v>4.8</v>
      </c>
      <c r="M406" s="92"/>
      <c r="N406" s="65"/>
      <c r="O406" s="65"/>
      <c r="P406" s="65"/>
      <c r="Q406" s="65"/>
    </row>
    <row r="407" spans="1:17" s="64" customFormat="1" ht="18.75" customHeight="1">
      <c r="A407" s="94">
        <v>381</v>
      </c>
      <c r="B407" s="95" t="s">
        <v>1246</v>
      </c>
      <c r="C407" s="117" t="s">
        <v>41</v>
      </c>
      <c r="D407" s="118" t="s">
        <v>171</v>
      </c>
      <c r="E407" s="94" t="s">
        <v>661</v>
      </c>
      <c r="F407" s="101" t="s">
        <v>1333</v>
      </c>
      <c r="G407" s="98">
        <v>6</v>
      </c>
      <c r="H407" s="99">
        <v>8</v>
      </c>
      <c r="I407" s="98">
        <v>6</v>
      </c>
      <c r="J407" s="98">
        <v>7</v>
      </c>
      <c r="K407" s="98"/>
      <c r="L407" s="100">
        <f aca="true" t="shared" si="6" ref="L407:L448">ROUND(G407*$C$11+H407*$C$12+I407*$C$13+J407*$C$14+K407*$C$15,1)</f>
        <v>6.8</v>
      </c>
      <c r="M407" s="92"/>
      <c r="N407" s="65"/>
      <c r="O407" s="65"/>
      <c r="P407" s="65"/>
      <c r="Q407" s="65"/>
    </row>
    <row r="408" spans="1:17" s="64" customFormat="1" ht="18.75" customHeight="1">
      <c r="A408" s="94">
        <v>382</v>
      </c>
      <c r="B408" s="95" t="s">
        <v>1247</v>
      </c>
      <c r="C408" s="117" t="s">
        <v>326</v>
      </c>
      <c r="D408" s="118" t="s">
        <v>119</v>
      </c>
      <c r="E408" s="94" t="s">
        <v>792</v>
      </c>
      <c r="F408" s="101" t="s">
        <v>1333</v>
      </c>
      <c r="G408" s="98">
        <v>6</v>
      </c>
      <c r="H408" s="99">
        <v>5</v>
      </c>
      <c r="I408" s="98">
        <v>6</v>
      </c>
      <c r="J408" s="98">
        <v>6</v>
      </c>
      <c r="K408" s="98"/>
      <c r="L408" s="100">
        <f t="shared" si="6"/>
        <v>5.9</v>
      </c>
      <c r="M408" s="92"/>
      <c r="N408" s="65"/>
      <c r="O408" s="65"/>
      <c r="P408" s="65"/>
      <c r="Q408" s="65"/>
    </row>
    <row r="409" spans="1:17" s="66" customFormat="1" ht="18.75" customHeight="1">
      <c r="A409" s="114">
        <v>383</v>
      </c>
      <c r="B409" s="105" t="s">
        <v>1249</v>
      </c>
      <c r="C409" s="119" t="s">
        <v>409</v>
      </c>
      <c r="D409" s="120" t="s">
        <v>72</v>
      </c>
      <c r="E409" s="114" t="s">
        <v>648</v>
      </c>
      <c r="F409" s="116" t="s">
        <v>1333</v>
      </c>
      <c r="G409" s="115"/>
      <c r="H409" s="108"/>
      <c r="I409" s="115"/>
      <c r="J409" s="115"/>
      <c r="K409" s="115"/>
      <c r="L409" s="109">
        <f t="shared" si="6"/>
        <v>0</v>
      </c>
      <c r="M409" s="111" t="s">
        <v>1364</v>
      </c>
      <c r="N409" s="79"/>
      <c r="O409" s="79"/>
      <c r="P409" s="79"/>
      <c r="Q409" s="79"/>
    </row>
    <row r="410" spans="1:17" s="64" customFormat="1" ht="18.75" customHeight="1">
      <c r="A410" s="94">
        <v>384</v>
      </c>
      <c r="B410" s="95" t="s">
        <v>1250</v>
      </c>
      <c r="C410" s="117" t="s">
        <v>69</v>
      </c>
      <c r="D410" s="118" t="s">
        <v>72</v>
      </c>
      <c r="E410" s="94" t="s">
        <v>657</v>
      </c>
      <c r="F410" s="101" t="s">
        <v>1333</v>
      </c>
      <c r="G410" s="98">
        <v>6</v>
      </c>
      <c r="H410" s="99">
        <v>7</v>
      </c>
      <c r="I410" s="98">
        <v>6</v>
      </c>
      <c r="J410" s="98">
        <v>5</v>
      </c>
      <c r="K410" s="98"/>
      <c r="L410" s="100">
        <f t="shared" si="6"/>
        <v>5.5</v>
      </c>
      <c r="M410" s="92"/>
      <c r="N410" s="65"/>
      <c r="O410" s="65"/>
      <c r="P410" s="65"/>
      <c r="Q410" s="65"/>
    </row>
    <row r="411" spans="1:17" s="66" customFormat="1" ht="18.75" customHeight="1">
      <c r="A411" s="114">
        <v>385</v>
      </c>
      <c r="B411" s="105" t="s">
        <v>1251</v>
      </c>
      <c r="C411" s="119" t="s">
        <v>407</v>
      </c>
      <c r="D411" s="120" t="s">
        <v>408</v>
      </c>
      <c r="E411" s="114" t="s">
        <v>646</v>
      </c>
      <c r="F411" s="116" t="s">
        <v>1333</v>
      </c>
      <c r="G411" s="115"/>
      <c r="H411" s="108"/>
      <c r="I411" s="115"/>
      <c r="J411" s="115"/>
      <c r="K411" s="115"/>
      <c r="L411" s="109">
        <f t="shared" si="6"/>
        <v>0</v>
      </c>
      <c r="M411" s="111" t="s">
        <v>1361</v>
      </c>
      <c r="N411" s="79"/>
      <c r="O411" s="79"/>
      <c r="P411" s="79"/>
      <c r="Q411" s="79"/>
    </row>
    <row r="412" spans="1:17" s="64" customFormat="1" ht="18.75" customHeight="1">
      <c r="A412" s="94">
        <v>386</v>
      </c>
      <c r="B412" s="95" t="s">
        <v>1248</v>
      </c>
      <c r="C412" s="117" t="s">
        <v>38</v>
      </c>
      <c r="D412" s="118" t="s">
        <v>193</v>
      </c>
      <c r="E412" s="94" t="s">
        <v>558</v>
      </c>
      <c r="F412" s="101" t="s">
        <v>849</v>
      </c>
      <c r="G412" s="98">
        <v>7</v>
      </c>
      <c r="H412" s="99">
        <v>7</v>
      </c>
      <c r="I412" s="98">
        <v>7</v>
      </c>
      <c r="J412" s="98">
        <v>8</v>
      </c>
      <c r="K412" s="98"/>
      <c r="L412" s="100">
        <f t="shared" si="6"/>
        <v>7.6</v>
      </c>
      <c r="M412" s="92"/>
      <c r="N412" s="65"/>
      <c r="O412" s="65"/>
      <c r="P412" s="65"/>
      <c r="Q412" s="65"/>
    </row>
    <row r="413" spans="1:17" s="64" customFormat="1" ht="18.75" customHeight="1">
      <c r="A413" s="94">
        <v>387</v>
      </c>
      <c r="B413" s="95" t="s">
        <v>1252</v>
      </c>
      <c r="C413" s="117" t="s">
        <v>147</v>
      </c>
      <c r="D413" s="118" t="s">
        <v>37</v>
      </c>
      <c r="E413" s="94" t="s">
        <v>764</v>
      </c>
      <c r="F413" s="101" t="s">
        <v>858</v>
      </c>
      <c r="G413" s="98">
        <v>6</v>
      </c>
      <c r="H413" s="99">
        <v>8</v>
      </c>
      <c r="I413" s="98">
        <v>4</v>
      </c>
      <c r="J413" s="98">
        <v>9</v>
      </c>
      <c r="K413" s="98"/>
      <c r="L413" s="100">
        <f t="shared" si="6"/>
        <v>7.6</v>
      </c>
      <c r="M413" s="92"/>
      <c r="N413" s="65"/>
      <c r="O413" s="65"/>
      <c r="P413" s="65"/>
      <c r="Q413" s="65"/>
    </row>
    <row r="414" spans="1:17" s="64" customFormat="1" ht="18.75" customHeight="1">
      <c r="A414" s="94">
        <v>388</v>
      </c>
      <c r="B414" s="95" t="s">
        <v>1253</v>
      </c>
      <c r="C414" s="117" t="s">
        <v>94</v>
      </c>
      <c r="D414" s="118" t="s">
        <v>37</v>
      </c>
      <c r="E414" s="94" t="s">
        <v>757</v>
      </c>
      <c r="F414" s="101" t="s">
        <v>858</v>
      </c>
      <c r="G414" s="98">
        <v>6</v>
      </c>
      <c r="H414" s="99">
        <v>8</v>
      </c>
      <c r="I414" s="98">
        <v>6</v>
      </c>
      <c r="J414" s="98">
        <v>5</v>
      </c>
      <c r="K414" s="98"/>
      <c r="L414" s="100">
        <f t="shared" si="6"/>
        <v>5.6</v>
      </c>
      <c r="M414" s="92"/>
      <c r="N414" s="65"/>
      <c r="O414" s="65"/>
      <c r="P414" s="65"/>
      <c r="Q414" s="65"/>
    </row>
    <row r="415" spans="1:17" s="64" customFormat="1" ht="18.75" customHeight="1">
      <c r="A415" s="94">
        <v>389</v>
      </c>
      <c r="B415" s="95" t="s">
        <v>1254</v>
      </c>
      <c r="C415" s="117" t="s">
        <v>310</v>
      </c>
      <c r="D415" s="118" t="s">
        <v>418</v>
      </c>
      <c r="E415" s="94" t="s">
        <v>768</v>
      </c>
      <c r="F415" s="101" t="s">
        <v>858</v>
      </c>
      <c r="G415" s="98">
        <v>6</v>
      </c>
      <c r="H415" s="99">
        <v>7</v>
      </c>
      <c r="I415" s="98">
        <v>5</v>
      </c>
      <c r="J415" s="98">
        <v>6</v>
      </c>
      <c r="K415" s="98"/>
      <c r="L415" s="100">
        <f t="shared" si="6"/>
        <v>5.9</v>
      </c>
      <c r="M415" s="92"/>
      <c r="N415" s="65"/>
      <c r="O415" s="65"/>
      <c r="P415" s="65"/>
      <c r="Q415" s="65"/>
    </row>
    <row r="416" spans="1:17" s="64" customFormat="1" ht="18.75" customHeight="1">
      <c r="A416" s="94">
        <v>390</v>
      </c>
      <c r="B416" s="95" t="s">
        <v>1255</v>
      </c>
      <c r="C416" s="117" t="s">
        <v>1313</v>
      </c>
      <c r="D416" s="118" t="s">
        <v>864</v>
      </c>
      <c r="E416" s="94" t="s">
        <v>775</v>
      </c>
      <c r="F416" s="101" t="s">
        <v>1334</v>
      </c>
      <c r="G416" s="98">
        <v>7</v>
      </c>
      <c r="H416" s="99">
        <v>7</v>
      </c>
      <c r="I416" s="98">
        <v>7</v>
      </c>
      <c r="J416" s="98">
        <v>7</v>
      </c>
      <c r="K416" s="98"/>
      <c r="L416" s="100">
        <f t="shared" si="6"/>
        <v>7</v>
      </c>
      <c r="M416" s="92"/>
      <c r="N416" s="65"/>
      <c r="O416" s="65"/>
      <c r="P416" s="65"/>
      <c r="Q416" s="65"/>
    </row>
    <row r="417" spans="1:17" s="64" customFormat="1" ht="18.75" customHeight="1">
      <c r="A417" s="94">
        <v>391</v>
      </c>
      <c r="B417" s="95" t="s">
        <v>1256</v>
      </c>
      <c r="C417" s="117" t="s">
        <v>208</v>
      </c>
      <c r="D417" s="118" t="s">
        <v>396</v>
      </c>
      <c r="E417" s="94" t="s">
        <v>472</v>
      </c>
      <c r="F417" s="101" t="s">
        <v>858</v>
      </c>
      <c r="G417" s="98">
        <v>6</v>
      </c>
      <c r="H417" s="99"/>
      <c r="I417" s="98">
        <v>5</v>
      </c>
      <c r="J417" s="98">
        <v>6</v>
      </c>
      <c r="K417" s="98"/>
      <c r="L417" s="100">
        <f t="shared" si="6"/>
        <v>5.2</v>
      </c>
      <c r="M417" s="92"/>
      <c r="N417" s="65"/>
      <c r="O417" s="65"/>
      <c r="P417" s="65"/>
      <c r="Q417" s="65"/>
    </row>
    <row r="418" spans="1:17" s="64" customFormat="1" ht="18.75" customHeight="1">
      <c r="A418" s="94">
        <v>392</v>
      </c>
      <c r="B418" s="95" t="s">
        <v>1257</v>
      </c>
      <c r="C418" s="117" t="s">
        <v>1314</v>
      </c>
      <c r="D418" s="118" t="s">
        <v>863</v>
      </c>
      <c r="E418" s="94" t="s">
        <v>776</v>
      </c>
      <c r="F418" s="101" t="s">
        <v>1334</v>
      </c>
      <c r="G418" s="98">
        <v>7</v>
      </c>
      <c r="H418" s="99">
        <v>7</v>
      </c>
      <c r="I418" s="98">
        <v>7</v>
      </c>
      <c r="J418" s="98">
        <v>7</v>
      </c>
      <c r="K418" s="98"/>
      <c r="L418" s="100">
        <f t="shared" si="6"/>
        <v>7</v>
      </c>
      <c r="M418" s="92"/>
      <c r="N418" s="65"/>
      <c r="O418" s="65"/>
      <c r="P418" s="65"/>
      <c r="Q418" s="65"/>
    </row>
    <row r="419" spans="1:17" s="66" customFormat="1" ht="18.75" customHeight="1">
      <c r="A419" s="114">
        <v>393</v>
      </c>
      <c r="B419" s="105" t="s">
        <v>1258</v>
      </c>
      <c r="C419" s="119" t="s">
        <v>303</v>
      </c>
      <c r="D419" s="120" t="s">
        <v>158</v>
      </c>
      <c r="E419" s="114" t="s">
        <v>758</v>
      </c>
      <c r="F419" s="116" t="s">
        <v>858</v>
      </c>
      <c r="G419" s="115"/>
      <c r="H419" s="108"/>
      <c r="I419" s="115"/>
      <c r="J419" s="115"/>
      <c r="K419" s="115"/>
      <c r="L419" s="109">
        <f t="shared" si="6"/>
        <v>0</v>
      </c>
      <c r="M419" s="111" t="s">
        <v>1361</v>
      </c>
      <c r="N419" s="79"/>
      <c r="O419" s="79"/>
      <c r="P419" s="79"/>
      <c r="Q419" s="79"/>
    </row>
    <row r="420" spans="1:17" s="64" customFormat="1" ht="18.75" customHeight="1">
      <c r="A420" s="94">
        <v>394</v>
      </c>
      <c r="B420" s="95" t="s">
        <v>1259</v>
      </c>
      <c r="C420" s="117" t="s">
        <v>304</v>
      </c>
      <c r="D420" s="118" t="s">
        <v>436</v>
      </c>
      <c r="E420" s="94" t="s">
        <v>759</v>
      </c>
      <c r="F420" s="101" t="s">
        <v>858</v>
      </c>
      <c r="G420" s="98">
        <v>8</v>
      </c>
      <c r="H420" s="99">
        <v>7</v>
      </c>
      <c r="I420" s="98">
        <v>8</v>
      </c>
      <c r="J420" s="98">
        <v>7</v>
      </c>
      <c r="K420" s="98"/>
      <c r="L420" s="100">
        <f t="shared" si="6"/>
        <v>7.3</v>
      </c>
      <c r="M420" s="92"/>
      <c r="N420" s="65"/>
      <c r="O420" s="65"/>
      <c r="P420" s="65"/>
      <c r="Q420" s="65"/>
    </row>
    <row r="421" spans="1:17" s="64" customFormat="1" ht="18.75" customHeight="1">
      <c r="A421" s="94">
        <v>395</v>
      </c>
      <c r="B421" s="95" t="s">
        <v>1260</v>
      </c>
      <c r="C421" s="117" t="s">
        <v>308</v>
      </c>
      <c r="D421" s="118" t="s">
        <v>46</v>
      </c>
      <c r="E421" s="94" t="s">
        <v>765</v>
      </c>
      <c r="F421" s="101" t="s">
        <v>858</v>
      </c>
      <c r="G421" s="98">
        <v>6</v>
      </c>
      <c r="H421" s="99">
        <v>7</v>
      </c>
      <c r="I421" s="98">
        <v>5</v>
      </c>
      <c r="J421" s="98">
        <v>7</v>
      </c>
      <c r="K421" s="98"/>
      <c r="L421" s="100">
        <f t="shared" si="6"/>
        <v>6.5</v>
      </c>
      <c r="M421" s="92"/>
      <c r="N421" s="65"/>
      <c r="O421" s="65"/>
      <c r="P421" s="65"/>
      <c r="Q421" s="65"/>
    </row>
    <row r="422" spans="1:17" s="64" customFormat="1" ht="18.75" customHeight="1">
      <c r="A422" s="94">
        <v>396</v>
      </c>
      <c r="B422" s="95" t="s">
        <v>1261</v>
      </c>
      <c r="C422" s="117" t="s">
        <v>296</v>
      </c>
      <c r="D422" s="118" t="s">
        <v>48</v>
      </c>
      <c r="E422" s="94" t="s">
        <v>747</v>
      </c>
      <c r="F422" s="101" t="s">
        <v>858</v>
      </c>
      <c r="G422" s="98">
        <v>6</v>
      </c>
      <c r="H422" s="99">
        <v>7</v>
      </c>
      <c r="I422" s="98">
        <v>6</v>
      </c>
      <c r="J422" s="98">
        <v>4</v>
      </c>
      <c r="K422" s="98"/>
      <c r="L422" s="100">
        <f t="shared" si="6"/>
        <v>4.9</v>
      </c>
      <c r="M422" s="92"/>
      <c r="N422" s="65"/>
      <c r="O422" s="65"/>
      <c r="P422" s="65"/>
      <c r="Q422" s="65"/>
    </row>
    <row r="423" spans="1:17" s="64" customFormat="1" ht="18.75" customHeight="1">
      <c r="A423" s="94">
        <v>397</v>
      </c>
      <c r="B423" s="95" t="s">
        <v>1262</v>
      </c>
      <c r="C423" s="117" t="s">
        <v>71</v>
      </c>
      <c r="D423" s="118" t="s">
        <v>311</v>
      </c>
      <c r="E423" s="94" t="s">
        <v>769</v>
      </c>
      <c r="F423" s="101" t="s">
        <v>858</v>
      </c>
      <c r="G423" s="98">
        <v>7</v>
      </c>
      <c r="H423" s="99">
        <v>8</v>
      </c>
      <c r="I423" s="98">
        <v>7</v>
      </c>
      <c r="J423" s="98">
        <v>7</v>
      </c>
      <c r="K423" s="98"/>
      <c r="L423" s="100">
        <f t="shared" si="6"/>
        <v>7.1</v>
      </c>
      <c r="M423" s="92"/>
      <c r="N423" s="65"/>
      <c r="O423" s="65"/>
      <c r="P423" s="65"/>
      <c r="Q423" s="65"/>
    </row>
    <row r="424" spans="1:17" s="64" customFormat="1" ht="18.75" customHeight="1">
      <c r="A424" s="94">
        <v>398</v>
      </c>
      <c r="B424" s="95" t="s">
        <v>1263</v>
      </c>
      <c r="C424" s="117" t="s">
        <v>312</v>
      </c>
      <c r="D424" s="118" t="s">
        <v>53</v>
      </c>
      <c r="E424" s="94" t="s">
        <v>467</v>
      </c>
      <c r="F424" s="101" t="s">
        <v>858</v>
      </c>
      <c r="G424" s="98">
        <v>6</v>
      </c>
      <c r="H424" s="99">
        <v>7</v>
      </c>
      <c r="I424" s="98">
        <v>3.5</v>
      </c>
      <c r="J424" s="98">
        <v>6</v>
      </c>
      <c r="K424" s="98"/>
      <c r="L424" s="100">
        <f t="shared" si="6"/>
        <v>5.6</v>
      </c>
      <c r="M424" s="92"/>
      <c r="N424" s="65"/>
      <c r="O424" s="65"/>
      <c r="P424" s="65"/>
      <c r="Q424" s="65"/>
    </row>
    <row r="425" spans="1:17" s="64" customFormat="1" ht="18.75" customHeight="1">
      <c r="A425" s="94">
        <v>399</v>
      </c>
      <c r="B425" s="95" t="s">
        <v>1264</v>
      </c>
      <c r="C425" s="117" t="s">
        <v>430</v>
      </c>
      <c r="D425" s="118" t="s">
        <v>53</v>
      </c>
      <c r="E425" s="94" t="s">
        <v>771</v>
      </c>
      <c r="F425" s="101" t="s">
        <v>1334</v>
      </c>
      <c r="G425" s="98">
        <v>6</v>
      </c>
      <c r="H425" s="99">
        <v>7</v>
      </c>
      <c r="I425" s="98">
        <v>6</v>
      </c>
      <c r="J425" s="98">
        <v>7</v>
      </c>
      <c r="K425" s="98"/>
      <c r="L425" s="100">
        <f t="shared" si="6"/>
        <v>6.7</v>
      </c>
      <c r="M425" s="92"/>
      <c r="N425" s="65"/>
      <c r="O425" s="65"/>
      <c r="P425" s="65"/>
      <c r="Q425" s="65"/>
    </row>
    <row r="426" spans="1:17" s="64" customFormat="1" ht="18.75" customHeight="1">
      <c r="A426" s="94">
        <v>400</v>
      </c>
      <c r="B426" s="95" t="s">
        <v>1265</v>
      </c>
      <c r="C426" s="117" t="s">
        <v>299</v>
      </c>
      <c r="D426" s="118" t="s">
        <v>124</v>
      </c>
      <c r="E426" s="94" t="s">
        <v>750</v>
      </c>
      <c r="F426" s="101" t="s">
        <v>858</v>
      </c>
      <c r="G426" s="98">
        <v>7</v>
      </c>
      <c r="H426" s="99">
        <v>7</v>
      </c>
      <c r="I426" s="98">
        <v>7</v>
      </c>
      <c r="J426" s="98">
        <v>8</v>
      </c>
      <c r="K426" s="98"/>
      <c r="L426" s="100">
        <f t="shared" si="6"/>
        <v>7.6</v>
      </c>
      <c r="M426" s="92"/>
      <c r="N426" s="65"/>
      <c r="O426" s="65"/>
      <c r="P426" s="65"/>
      <c r="Q426" s="65"/>
    </row>
    <row r="427" spans="1:17" s="64" customFormat="1" ht="18.75" customHeight="1">
      <c r="A427" s="94">
        <v>401</v>
      </c>
      <c r="B427" s="95" t="s">
        <v>1266</v>
      </c>
      <c r="C427" s="117" t="s">
        <v>41</v>
      </c>
      <c r="D427" s="118" t="s">
        <v>86</v>
      </c>
      <c r="E427" s="94" t="s">
        <v>766</v>
      </c>
      <c r="F427" s="101" t="s">
        <v>858</v>
      </c>
      <c r="G427" s="128">
        <v>0</v>
      </c>
      <c r="H427" s="99">
        <v>8</v>
      </c>
      <c r="I427" s="128">
        <v>0</v>
      </c>
      <c r="J427" s="98">
        <v>6</v>
      </c>
      <c r="K427" s="98"/>
      <c r="L427" s="100">
        <f t="shared" si="6"/>
        <v>4.4</v>
      </c>
      <c r="M427" s="92" t="s">
        <v>1394</v>
      </c>
      <c r="N427" s="65"/>
      <c r="O427" s="65"/>
      <c r="P427" s="65"/>
      <c r="Q427" s="65"/>
    </row>
    <row r="428" spans="1:17" s="64" customFormat="1" ht="18.75" customHeight="1">
      <c r="A428" s="94">
        <v>402</v>
      </c>
      <c r="B428" s="95" t="s">
        <v>1267</v>
      </c>
      <c r="C428" s="117" t="s">
        <v>305</v>
      </c>
      <c r="D428" s="118" t="s">
        <v>57</v>
      </c>
      <c r="E428" s="94" t="s">
        <v>760</v>
      </c>
      <c r="F428" s="101" t="s">
        <v>858</v>
      </c>
      <c r="G428" s="98">
        <v>8</v>
      </c>
      <c r="H428" s="99">
        <v>7</v>
      </c>
      <c r="I428" s="98">
        <v>8</v>
      </c>
      <c r="J428" s="98">
        <v>6</v>
      </c>
      <c r="K428" s="98"/>
      <c r="L428" s="100">
        <f t="shared" si="6"/>
        <v>6.7</v>
      </c>
      <c r="M428" s="92"/>
      <c r="N428" s="65"/>
      <c r="O428" s="65"/>
      <c r="P428" s="65"/>
      <c r="Q428" s="65"/>
    </row>
    <row r="429" spans="1:17" s="64" customFormat="1" ht="18.75" customHeight="1">
      <c r="A429" s="94">
        <v>403</v>
      </c>
      <c r="B429" s="95" t="s">
        <v>1268</v>
      </c>
      <c r="C429" s="117" t="s">
        <v>309</v>
      </c>
      <c r="D429" s="118" t="s">
        <v>439</v>
      </c>
      <c r="E429" s="94" t="s">
        <v>767</v>
      </c>
      <c r="F429" s="101" t="s">
        <v>858</v>
      </c>
      <c r="G429" s="98">
        <v>6</v>
      </c>
      <c r="H429" s="99">
        <v>8</v>
      </c>
      <c r="I429" s="98">
        <v>6</v>
      </c>
      <c r="J429" s="98">
        <v>7</v>
      </c>
      <c r="K429" s="98"/>
      <c r="L429" s="100">
        <f t="shared" si="6"/>
        <v>6.8</v>
      </c>
      <c r="M429" s="92"/>
      <c r="N429" s="65"/>
      <c r="O429" s="65"/>
      <c r="P429" s="65"/>
      <c r="Q429" s="65"/>
    </row>
    <row r="430" spans="1:17" s="64" customFormat="1" ht="18.75" customHeight="1">
      <c r="A430" s="94">
        <v>404</v>
      </c>
      <c r="B430" s="95" t="s">
        <v>1269</v>
      </c>
      <c r="C430" s="117" t="s">
        <v>85</v>
      </c>
      <c r="D430" s="118" t="s">
        <v>89</v>
      </c>
      <c r="E430" s="94" t="s">
        <v>772</v>
      </c>
      <c r="F430" s="101" t="s">
        <v>1334</v>
      </c>
      <c r="G430" s="98">
        <v>6</v>
      </c>
      <c r="H430" s="99">
        <v>7</v>
      </c>
      <c r="I430" s="98">
        <v>6</v>
      </c>
      <c r="J430" s="98">
        <v>5</v>
      </c>
      <c r="K430" s="98"/>
      <c r="L430" s="100">
        <f t="shared" si="6"/>
        <v>5.5</v>
      </c>
      <c r="M430" s="92"/>
      <c r="N430" s="65"/>
      <c r="O430" s="65"/>
      <c r="P430" s="65"/>
      <c r="Q430" s="65"/>
    </row>
    <row r="431" spans="1:17" s="64" customFormat="1" ht="18.75" customHeight="1">
      <c r="A431" s="94">
        <v>405</v>
      </c>
      <c r="B431" s="95" t="s">
        <v>1270</v>
      </c>
      <c r="C431" s="117" t="s">
        <v>96</v>
      </c>
      <c r="D431" s="118" t="s">
        <v>60</v>
      </c>
      <c r="E431" s="94" t="s">
        <v>752</v>
      </c>
      <c r="F431" s="101" t="s">
        <v>858</v>
      </c>
      <c r="G431" s="98">
        <v>7</v>
      </c>
      <c r="H431" s="99">
        <v>7</v>
      </c>
      <c r="I431" s="98">
        <v>7</v>
      </c>
      <c r="J431" s="98">
        <v>9</v>
      </c>
      <c r="K431" s="98"/>
      <c r="L431" s="100">
        <f t="shared" si="6"/>
        <v>8.2</v>
      </c>
      <c r="M431" s="92"/>
      <c r="N431" s="65"/>
      <c r="O431" s="65"/>
      <c r="P431" s="65"/>
      <c r="Q431" s="65"/>
    </row>
    <row r="432" spans="1:17" s="64" customFormat="1" ht="18.75" customHeight="1">
      <c r="A432" s="94">
        <v>406</v>
      </c>
      <c r="B432" s="95" t="s">
        <v>1271</v>
      </c>
      <c r="C432" s="117" t="s">
        <v>314</v>
      </c>
      <c r="D432" s="118" t="s">
        <v>113</v>
      </c>
      <c r="E432" s="94" t="s">
        <v>774</v>
      </c>
      <c r="F432" s="101" t="s">
        <v>1334</v>
      </c>
      <c r="G432" s="98">
        <v>7</v>
      </c>
      <c r="H432" s="99">
        <v>7</v>
      </c>
      <c r="I432" s="98">
        <v>6.5</v>
      </c>
      <c r="J432" s="98">
        <v>6</v>
      </c>
      <c r="K432" s="98"/>
      <c r="L432" s="100">
        <f t="shared" si="6"/>
        <v>6.3</v>
      </c>
      <c r="M432" s="92"/>
      <c r="N432" s="65"/>
      <c r="O432" s="65"/>
      <c r="P432" s="65"/>
      <c r="Q432" s="65"/>
    </row>
    <row r="433" spans="1:17" s="64" customFormat="1" ht="18.75" customHeight="1">
      <c r="A433" s="94">
        <v>407</v>
      </c>
      <c r="B433" s="95" t="s">
        <v>1272</v>
      </c>
      <c r="C433" s="117" t="s">
        <v>435</v>
      </c>
      <c r="D433" s="118" t="s">
        <v>300</v>
      </c>
      <c r="E433" s="94" t="s">
        <v>751</v>
      </c>
      <c r="F433" s="101" t="s">
        <v>858</v>
      </c>
      <c r="G433" s="98">
        <v>9</v>
      </c>
      <c r="H433" s="99">
        <v>7</v>
      </c>
      <c r="I433" s="98">
        <v>8.5</v>
      </c>
      <c r="J433" s="98">
        <v>9</v>
      </c>
      <c r="K433" s="98"/>
      <c r="L433" s="100">
        <f t="shared" si="6"/>
        <v>8.7</v>
      </c>
      <c r="M433" s="92"/>
      <c r="N433" s="65"/>
      <c r="O433" s="65"/>
      <c r="P433" s="65"/>
      <c r="Q433" s="65"/>
    </row>
    <row r="434" spans="1:17" s="64" customFormat="1" ht="18.75" customHeight="1">
      <c r="A434" s="94">
        <v>408</v>
      </c>
      <c r="B434" s="95" t="s">
        <v>1273</v>
      </c>
      <c r="C434" s="117" t="s">
        <v>298</v>
      </c>
      <c r="D434" s="118" t="s">
        <v>132</v>
      </c>
      <c r="E434" s="94" t="s">
        <v>749</v>
      </c>
      <c r="F434" s="101" t="s">
        <v>858</v>
      </c>
      <c r="G434" s="98">
        <v>7</v>
      </c>
      <c r="H434" s="99">
        <v>7</v>
      </c>
      <c r="I434" s="98">
        <v>7</v>
      </c>
      <c r="J434" s="98">
        <v>6</v>
      </c>
      <c r="K434" s="98"/>
      <c r="L434" s="100">
        <f t="shared" si="6"/>
        <v>6.4</v>
      </c>
      <c r="M434" s="92"/>
      <c r="N434" s="65"/>
      <c r="O434" s="65"/>
      <c r="P434" s="65"/>
      <c r="Q434" s="65"/>
    </row>
    <row r="435" spans="1:17" s="64" customFormat="1" ht="18.75" customHeight="1">
      <c r="A435" s="94">
        <v>409</v>
      </c>
      <c r="B435" s="95" t="s">
        <v>1274</v>
      </c>
      <c r="C435" s="117" t="s">
        <v>313</v>
      </c>
      <c r="D435" s="118" t="s">
        <v>95</v>
      </c>
      <c r="E435" s="94" t="s">
        <v>773</v>
      </c>
      <c r="F435" s="101" t="s">
        <v>1334</v>
      </c>
      <c r="G435" s="98">
        <v>6</v>
      </c>
      <c r="H435" s="99">
        <v>7</v>
      </c>
      <c r="I435" s="98">
        <v>6</v>
      </c>
      <c r="J435" s="98">
        <v>6</v>
      </c>
      <c r="K435" s="98"/>
      <c r="L435" s="100">
        <f t="shared" si="6"/>
        <v>6.1</v>
      </c>
      <c r="M435" s="92"/>
      <c r="N435" s="65"/>
      <c r="O435" s="65"/>
      <c r="P435" s="65"/>
      <c r="Q435" s="65"/>
    </row>
    <row r="436" spans="1:17" s="64" customFormat="1" ht="18.75" customHeight="1">
      <c r="A436" s="94">
        <v>410</v>
      </c>
      <c r="B436" s="95" t="s">
        <v>1275</v>
      </c>
      <c r="C436" s="117" t="s">
        <v>41</v>
      </c>
      <c r="D436" s="118" t="s">
        <v>62</v>
      </c>
      <c r="E436" s="94" t="s">
        <v>753</v>
      </c>
      <c r="F436" s="101" t="s">
        <v>858</v>
      </c>
      <c r="G436" s="98">
        <v>7</v>
      </c>
      <c r="H436" s="99">
        <v>7</v>
      </c>
      <c r="I436" s="98">
        <v>7</v>
      </c>
      <c r="J436" s="98">
        <v>7</v>
      </c>
      <c r="K436" s="98"/>
      <c r="L436" s="100">
        <f t="shared" si="6"/>
        <v>7</v>
      </c>
      <c r="M436" s="92"/>
      <c r="N436" s="65"/>
      <c r="O436" s="65"/>
      <c r="P436" s="65"/>
      <c r="Q436" s="65"/>
    </row>
    <row r="437" spans="1:13" s="65" customFormat="1" ht="18.75" customHeight="1">
      <c r="A437" s="112">
        <v>411</v>
      </c>
      <c r="B437" s="95" t="s">
        <v>1276</v>
      </c>
      <c r="C437" s="122" t="s">
        <v>297</v>
      </c>
      <c r="D437" s="123" t="s">
        <v>184</v>
      </c>
      <c r="E437" s="112" t="s">
        <v>748</v>
      </c>
      <c r="F437" s="113" t="s">
        <v>858</v>
      </c>
      <c r="G437" s="99">
        <v>6</v>
      </c>
      <c r="H437" s="99">
        <v>7</v>
      </c>
      <c r="I437" s="99">
        <v>6</v>
      </c>
      <c r="J437" s="99">
        <v>8</v>
      </c>
      <c r="K437" s="99"/>
      <c r="L437" s="100">
        <f t="shared" si="6"/>
        <v>7.3</v>
      </c>
      <c r="M437" s="92"/>
    </row>
    <row r="438" spans="1:17" s="66" customFormat="1" ht="18.75" customHeight="1">
      <c r="A438" s="114">
        <v>412</v>
      </c>
      <c r="B438" s="105" t="s">
        <v>1277</v>
      </c>
      <c r="C438" s="119" t="s">
        <v>437</v>
      </c>
      <c r="D438" s="120" t="s">
        <v>306</v>
      </c>
      <c r="E438" s="114" t="s">
        <v>761</v>
      </c>
      <c r="F438" s="116" t="s">
        <v>858</v>
      </c>
      <c r="G438" s="115"/>
      <c r="H438" s="108"/>
      <c r="I438" s="115"/>
      <c r="J438" s="115"/>
      <c r="K438" s="115"/>
      <c r="L438" s="109">
        <f t="shared" si="6"/>
        <v>0</v>
      </c>
      <c r="M438" s="111"/>
      <c r="N438" s="79"/>
      <c r="O438" s="79"/>
      <c r="P438" s="79"/>
      <c r="Q438" s="79"/>
    </row>
    <row r="439" spans="1:17" s="64" customFormat="1" ht="18.75" customHeight="1">
      <c r="A439" s="94">
        <v>413</v>
      </c>
      <c r="B439" s="95" t="s">
        <v>1278</v>
      </c>
      <c r="C439" s="117" t="s">
        <v>147</v>
      </c>
      <c r="D439" s="118" t="s">
        <v>65</v>
      </c>
      <c r="E439" s="136" t="s">
        <v>1348</v>
      </c>
      <c r="F439" s="101" t="s">
        <v>858</v>
      </c>
      <c r="G439" s="128"/>
      <c r="H439" s="99">
        <v>7</v>
      </c>
      <c r="I439" s="98">
        <v>0</v>
      </c>
      <c r="J439" s="98">
        <v>4</v>
      </c>
      <c r="K439" s="98"/>
      <c r="L439" s="100">
        <f t="shared" si="6"/>
        <v>3.1</v>
      </c>
      <c r="M439" s="92" t="s">
        <v>1365</v>
      </c>
      <c r="N439" s="65"/>
      <c r="O439" s="65"/>
      <c r="P439" s="65"/>
      <c r="Q439" s="65"/>
    </row>
    <row r="440" spans="1:17" s="64" customFormat="1" ht="18.75" customHeight="1">
      <c r="A440" s="94">
        <v>414</v>
      </c>
      <c r="B440" s="95" t="s">
        <v>1279</v>
      </c>
      <c r="C440" s="117" t="s">
        <v>82</v>
      </c>
      <c r="D440" s="118" t="s">
        <v>146</v>
      </c>
      <c r="E440" s="94" t="s">
        <v>762</v>
      </c>
      <c r="F440" s="101" t="s">
        <v>858</v>
      </c>
      <c r="G440" s="98">
        <v>8</v>
      </c>
      <c r="H440" s="99">
        <v>7</v>
      </c>
      <c r="I440" s="98">
        <v>8</v>
      </c>
      <c r="J440" s="98">
        <v>8</v>
      </c>
      <c r="K440" s="98"/>
      <c r="L440" s="100">
        <f t="shared" si="6"/>
        <v>7.9</v>
      </c>
      <c r="M440" s="92"/>
      <c r="N440" s="65"/>
      <c r="O440" s="65"/>
      <c r="P440" s="65"/>
      <c r="Q440" s="65"/>
    </row>
    <row r="441" spans="1:17" s="64" customFormat="1" ht="18.75" customHeight="1">
      <c r="A441" s="94">
        <v>415</v>
      </c>
      <c r="B441" s="95" t="s">
        <v>1280</v>
      </c>
      <c r="C441" s="117" t="s">
        <v>307</v>
      </c>
      <c r="D441" s="118" t="s">
        <v>438</v>
      </c>
      <c r="E441" s="94" t="s">
        <v>763</v>
      </c>
      <c r="F441" s="101" t="s">
        <v>858</v>
      </c>
      <c r="G441" s="128">
        <v>0</v>
      </c>
      <c r="H441" s="99">
        <v>8</v>
      </c>
      <c r="I441" s="98">
        <v>0</v>
      </c>
      <c r="J441" s="98">
        <v>9</v>
      </c>
      <c r="K441" s="98"/>
      <c r="L441" s="100">
        <f t="shared" si="6"/>
        <v>6.2</v>
      </c>
      <c r="M441" s="92" t="s">
        <v>1366</v>
      </c>
      <c r="N441" s="65"/>
      <c r="O441" s="65"/>
      <c r="P441" s="65"/>
      <c r="Q441" s="65"/>
    </row>
    <row r="442" spans="1:17" s="66" customFormat="1" ht="18.75" customHeight="1">
      <c r="A442" s="114">
        <v>416</v>
      </c>
      <c r="B442" s="105" t="s">
        <v>1281</v>
      </c>
      <c r="C442" s="119" t="s">
        <v>302</v>
      </c>
      <c r="D442" s="120" t="s">
        <v>67</v>
      </c>
      <c r="E442" s="114" t="s">
        <v>755</v>
      </c>
      <c r="F442" s="116" t="s">
        <v>858</v>
      </c>
      <c r="G442" s="115"/>
      <c r="H442" s="108"/>
      <c r="I442" s="115"/>
      <c r="J442" s="115"/>
      <c r="K442" s="115"/>
      <c r="L442" s="109">
        <f t="shared" si="6"/>
        <v>0</v>
      </c>
      <c r="M442" s="111" t="s">
        <v>1361</v>
      </c>
      <c r="N442" s="79"/>
      <c r="O442" s="79"/>
      <c r="P442" s="79"/>
      <c r="Q442" s="79"/>
    </row>
    <row r="443" spans="1:17" s="64" customFormat="1" ht="18.75" customHeight="1">
      <c r="A443" s="94">
        <v>417</v>
      </c>
      <c r="B443" s="95" t="s">
        <v>1282</v>
      </c>
      <c r="C443" s="117" t="s">
        <v>39</v>
      </c>
      <c r="D443" s="118" t="s">
        <v>301</v>
      </c>
      <c r="E443" s="94" t="s">
        <v>754</v>
      </c>
      <c r="F443" s="101" t="s">
        <v>858</v>
      </c>
      <c r="G443" s="98">
        <v>6</v>
      </c>
      <c r="H443" s="99">
        <v>8</v>
      </c>
      <c r="I443" s="98">
        <v>6</v>
      </c>
      <c r="J443" s="98">
        <v>7</v>
      </c>
      <c r="K443" s="98"/>
      <c r="L443" s="100">
        <f t="shared" si="6"/>
        <v>6.8</v>
      </c>
      <c r="M443" s="92"/>
      <c r="N443" s="65"/>
      <c r="O443" s="65"/>
      <c r="P443" s="65"/>
      <c r="Q443" s="65"/>
    </row>
    <row r="444" spans="1:17" s="64" customFormat="1" ht="18.75" customHeight="1">
      <c r="A444" s="94">
        <v>418</v>
      </c>
      <c r="B444" s="95" t="s">
        <v>1283</v>
      </c>
      <c r="C444" s="117" t="s">
        <v>440</v>
      </c>
      <c r="D444" s="118" t="s">
        <v>121</v>
      </c>
      <c r="E444" s="94" t="s">
        <v>770</v>
      </c>
      <c r="F444" s="101" t="s">
        <v>1334</v>
      </c>
      <c r="G444" s="98">
        <v>7</v>
      </c>
      <c r="H444" s="99">
        <v>7</v>
      </c>
      <c r="I444" s="98">
        <v>7</v>
      </c>
      <c r="J444" s="98">
        <v>7</v>
      </c>
      <c r="K444" s="98"/>
      <c r="L444" s="100">
        <f t="shared" si="6"/>
        <v>7</v>
      </c>
      <c r="M444" s="92"/>
      <c r="N444" s="65"/>
      <c r="O444" s="65"/>
      <c r="P444" s="65"/>
      <c r="Q444" s="65"/>
    </row>
    <row r="445" spans="1:17" s="64" customFormat="1" ht="18.75" customHeight="1">
      <c r="A445" s="94">
        <v>419</v>
      </c>
      <c r="B445" s="95" t="s">
        <v>1284</v>
      </c>
      <c r="C445" s="117" t="s">
        <v>38</v>
      </c>
      <c r="D445" s="118" t="s">
        <v>193</v>
      </c>
      <c r="E445" s="94" t="s">
        <v>756</v>
      </c>
      <c r="F445" s="101" t="s">
        <v>858</v>
      </c>
      <c r="G445" s="98">
        <v>7</v>
      </c>
      <c r="H445" s="99">
        <v>7</v>
      </c>
      <c r="I445" s="98">
        <v>7</v>
      </c>
      <c r="J445" s="98">
        <v>7</v>
      </c>
      <c r="K445" s="98"/>
      <c r="L445" s="100">
        <f t="shared" si="6"/>
        <v>7</v>
      </c>
      <c r="M445" s="92"/>
      <c r="N445" s="65"/>
      <c r="O445" s="65"/>
      <c r="P445" s="65"/>
      <c r="Q445" s="65"/>
    </row>
    <row r="446" spans="1:17" s="64" customFormat="1" ht="18.75" customHeight="1">
      <c r="A446" s="94">
        <v>420</v>
      </c>
      <c r="B446" s="95" t="s">
        <v>1396</v>
      </c>
      <c r="C446" s="117" t="s">
        <v>1337</v>
      </c>
      <c r="D446" s="118" t="s">
        <v>44</v>
      </c>
      <c r="E446" s="94" t="s">
        <v>1338</v>
      </c>
      <c r="F446" s="101" t="s">
        <v>858</v>
      </c>
      <c r="G446" s="98">
        <v>8</v>
      </c>
      <c r="H446" s="99">
        <v>7</v>
      </c>
      <c r="I446" s="98">
        <v>7.5</v>
      </c>
      <c r="J446" s="98">
        <v>7</v>
      </c>
      <c r="K446" s="98"/>
      <c r="L446" s="100">
        <f t="shared" si="6"/>
        <v>7.2</v>
      </c>
      <c r="M446" s="92" t="s">
        <v>1369</v>
      </c>
      <c r="N446" s="65"/>
      <c r="O446" s="65"/>
      <c r="P446" s="65"/>
      <c r="Q446" s="65"/>
    </row>
    <row r="447" spans="1:17" s="64" customFormat="1" ht="18.75" customHeight="1">
      <c r="A447" s="94">
        <v>421</v>
      </c>
      <c r="B447" s="95"/>
      <c r="C447" s="117" t="s">
        <v>1388</v>
      </c>
      <c r="D447" s="118" t="s">
        <v>419</v>
      </c>
      <c r="E447" s="137">
        <v>29042</v>
      </c>
      <c r="F447" s="101" t="s">
        <v>1390</v>
      </c>
      <c r="G447" s="98">
        <v>7</v>
      </c>
      <c r="H447" s="99">
        <v>7</v>
      </c>
      <c r="I447" s="98">
        <v>7</v>
      </c>
      <c r="J447" s="98">
        <v>7</v>
      </c>
      <c r="K447" s="98"/>
      <c r="L447" s="100">
        <f t="shared" si="6"/>
        <v>7</v>
      </c>
      <c r="M447" s="92"/>
      <c r="N447" s="65"/>
      <c r="O447" s="65"/>
      <c r="P447" s="65"/>
      <c r="Q447" s="65"/>
    </row>
    <row r="448" spans="1:17" s="64" customFormat="1" ht="18.75" customHeight="1">
      <c r="A448" s="94">
        <v>422</v>
      </c>
      <c r="B448" s="95"/>
      <c r="C448" s="117" t="s">
        <v>1385</v>
      </c>
      <c r="D448" s="118" t="s">
        <v>47</v>
      </c>
      <c r="E448" s="137">
        <v>31022</v>
      </c>
      <c r="F448" s="101" t="s">
        <v>1386</v>
      </c>
      <c r="G448" s="98">
        <v>7</v>
      </c>
      <c r="H448" s="99">
        <v>8</v>
      </c>
      <c r="I448" s="98">
        <v>5</v>
      </c>
      <c r="J448" s="98">
        <v>7</v>
      </c>
      <c r="K448" s="98"/>
      <c r="L448" s="100">
        <f t="shared" si="6"/>
        <v>6.7</v>
      </c>
      <c r="M448" s="92"/>
      <c r="N448" s="65"/>
      <c r="O448" s="65"/>
      <c r="P448" s="65"/>
      <c r="Q448" s="65"/>
    </row>
    <row r="449" spans="1:12" ht="15" customHeight="1">
      <c r="A449" s="140"/>
      <c r="B449" s="140"/>
      <c r="C449" s="140"/>
      <c r="D449" s="140"/>
      <c r="E449" s="141" t="s">
        <v>1308</v>
      </c>
      <c r="F449" s="139"/>
      <c r="G449" s="141"/>
      <c r="H449" s="141"/>
      <c r="I449" s="141"/>
      <c r="J449" s="141"/>
      <c r="K449" s="141"/>
      <c r="L449" s="138"/>
    </row>
    <row r="450" spans="1:12" ht="15" customHeight="1">
      <c r="A450" s="89"/>
      <c r="B450" s="89"/>
      <c r="C450" s="89"/>
      <c r="D450" s="89"/>
      <c r="E450" s="89" t="s">
        <v>1309</v>
      </c>
      <c r="F450" s="139"/>
      <c r="G450" s="89"/>
      <c r="H450" s="89"/>
      <c r="I450" s="89"/>
      <c r="J450" s="89"/>
      <c r="K450" s="89"/>
      <c r="L450" s="138"/>
    </row>
    <row r="451" spans="5:12" ht="15" customHeight="1">
      <c r="E451" s="88" t="s">
        <v>1310</v>
      </c>
      <c r="F451" s="139"/>
      <c r="G451" s="88"/>
      <c r="H451" s="88"/>
      <c r="I451" s="88"/>
      <c r="J451" s="88"/>
      <c r="K451" s="88"/>
      <c r="L451" s="138"/>
    </row>
  </sheetData>
  <sheetProtection/>
  <mergeCells count="15">
    <mergeCell ref="H14:I14"/>
    <mergeCell ref="A1:D1"/>
    <mergeCell ref="A2:D2"/>
    <mergeCell ref="A3:D3"/>
    <mergeCell ref="A6:F6"/>
    <mergeCell ref="J18:J19"/>
    <mergeCell ref="F18:F19"/>
    <mergeCell ref="L18:L19"/>
    <mergeCell ref="H18:H19"/>
    <mergeCell ref="I18:I19"/>
    <mergeCell ref="A18:A19"/>
    <mergeCell ref="E18:E19"/>
    <mergeCell ref="G18:G19"/>
    <mergeCell ref="B18:B19"/>
    <mergeCell ref="C18:D19"/>
  </mergeCells>
  <dataValidations count="4">
    <dataValidation type="whole" allowBlank="1" showInputMessage="1" showErrorMessage="1" errorTitle="Lưu ý" error="Không sửa chữa khu vực này. Thanks" sqref="L18 L20:L448">
      <formula1>111111</formula1>
      <formula2>222222</formula2>
    </dataValidation>
    <dataValidation type="textLength" allowBlank="1" showInputMessage="1" showErrorMessage="1" sqref="D23:D27 E18 B18:C18 C45:C67 C25:C43 E76:E84 C23 C76:D112 E86:E112 D29:D73 C69:C73 C20:E21 E23:E73">
      <formula1>11111</formula1>
      <formula2>111111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</dataValidations>
  <printOptions horizontalCentered="1" verticalCentered="1"/>
  <pageMargins left="0.24" right="0.17" top="0.19" bottom="0.19" header="0.27" footer="0.16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90" zoomScalePageLayoutView="0" workbookViewId="0" topLeftCell="A1">
      <selection activeCell="H10" sqref="H10"/>
    </sheetView>
  </sheetViews>
  <sheetFormatPr defaultColWidth="8.796875" defaultRowHeight="15" customHeight="1"/>
  <cols>
    <col min="1" max="1" width="6" style="193" customWidth="1"/>
    <col min="2" max="2" width="10.3984375" style="193" customWidth="1"/>
    <col min="3" max="3" width="22.09765625" style="193" customWidth="1"/>
    <col min="4" max="4" width="10.69921875" style="192" customWidth="1"/>
    <col min="5" max="5" width="15.8984375" style="182" bestFit="1" customWidth="1"/>
    <col min="6" max="6" width="9.09765625" style="193" customWidth="1"/>
    <col min="7" max="7" width="9.3984375" style="193" customWidth="1"/>
    <col min="8" max="8" width="8.8984375" style="193" customWidth="1"/>
    <col min="9" max="9" width="8" style="193" hidden="1" customWidth="1"/>
    <col min="10" max="10" width="1.390625" style="193" hidden="1" customWidth="1"/>
    <col min="11" max="11" width="9.3984375" style="180" bestFit="1" customWidth="1"/>
    <col min="12" max="16384" width="9" style="192" customWidth="1"/>
  </cols>
  <sheetData>
    <row r="1" spans="1:10" ht="15" customHeight="1">
      <c r="A1" s="310" t="s">
        <v>30</v>
      </c>
      <c r="B1" s="310"/>
      <c r="C1" s="310"/>
      <c r="D1" s="310"/>
      <c r="E1" s="310" t="s">
        <v>33</v>
      </c>
      <c r="F1" s="310"/>
      <c r="G1" s="310"/>
      <c r="H1" s="310"/>
      <c r="I1" s="310"/>
      <c r="J1" s="310"/>
    </row>
    <row r="2" spans="1:11" ht="15" customHeight="1">
      <c r="A2" s="308" t="s">
        <v>31</v>
      </c>
      <c r="B2" s="308"/>
      <c r="C2" s="308"/>
      <c r="D2" s="308"/>
      <c r="E2" s="311" t="s">
        <v>34</v>
      </c>
      <c r="F2" s="311"/>
      <c r="G2" s="311"/>
      <c r="H2" s="311"/>
      <c r="I2" s="311"/>
      <c r="J2" s="311"/>
      <c r="K2" s="181"/>
    </row>
    <row r="3" spans="1:4" ht="15" customHeight="1">
      <c r="A3" s="308" t="s">
        <v>32</v>
      </c>
      <c r="B3" s="308"/>
      <c r="C3" s="308"/>
      <c r="D3" s="308"/>
    </row>
    <row r="5" spans="1:11" ht="24.75" customHeight="1">
      <c r="A5" s="313" t="s">
        <v>3155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17.25" customHeight="1">
      <c r="A6" s="194"/>
      <c r="B6" s="204"/>
      <c r="C6" s="194"/>
      <c r="D6" s="194"/>
      <c r="E6" s="194"/>
      <c r="F6" s="194"/>
      <c r="G6" s="194"/>
      <c r="H6" s="194"/>
      <c r="I6" s="194"/>
      <c r="J6" s="194"/>
      <c r="K6" s="194"/>
    </row>
    <row r="7" spans="2:11" ht="21.75" customHeight="1">
      <c r="B7" s="159" t="s">
        <v>0</v>
      </c>
      <c r="C7" s="195"/>
      <c r="D7" s="312" t="s">
        <v>3152</v>
      </c>
      <c r="E7" s="312"/>
      <c r="F7" s="159"/>
      <c r="G7" s="159"/>
      <c r="H7" s="312" t="s">
        <v>1412</v>
      </c>
      <c r="I7" s="312"/>
      <c r="J7" s="312"/>
      <c r="K7" s="312"/>
    </row>
    <row r="8" spans="1:11" s="179" customFormat="1" ht="18" customHeight="1">
      <c r="A8" s="182"/>
      <c r="B8" s="186" t="s">
        <v>1311</v>
      </c>
      <c r="C8" s="186" t="s">
        <v>29</v>
      </c>
      <c r="E8" s="161" t="s">
        <v>3153</v>
      </c>
      <c r="F8" s="160" t="s">
        <v>1318</v>
      </c>
      <c r="G8" s="160"/>
      <c r="H8" s="160"/>
      <c r="I8" s="160"/>
      <c r="J8" s="160"/>
      <c r="K8" s="160"/>
    </row>
    <row r="9" spans="1:11" s="179" customFormat="1" ht="18" customHeight="1">
      <c r="A9" s="182"/>
      <c r="B9" s="185" t="s">
        <v>10</v>
      </c>
      <c r="C9" s="196">
        <v>0.1</v>
      </c>
      <c r="E9" s="162" t="s">
        <v>1408</v>
      </c>
      <c r="F9" s="187">
        <v>4</v>
      </c>
      <c r="G9" s="197"/>
      <c r="H9" s="197"/>
      <c r="I9" s="157"/>
      <c r="J9" s="157"/>
      <c r="K9" s="157"/>
    </row>
    <row r="10" spans="1:11" s="179" customFormat="1" ht="18" customHeight="1">
      <c r="A10" s="182"/>
      <c r="B10" s="185" t="s">
        <v>11</v>
      </c>
      <c r="C10" s="196">
        <v>0.3</v>
      </c>
      <c r="E10" s="162" t="s">
        <v>3154</v>
      </c>
      <c r="F10" s="197" t="s">
        <v>3145</v>
      </c>
      <c r="G10" s="197"/>
      <c r="H10" s="197"/>
      <c r="I10" s="157"/>
      <c r="J10" s="157"/>
      <c r="K10" s="157"/>
    </row>
    <row r="11" spans="1:11" s="179" customFormat="1" ht="18" customHeight="1">
      <c r="A11" s="182"/>
      <c r="B11" s="185" t="s">
        <v>12</v>
      </c>
      <c r="C11" s="196">
        <v>0.6</v>
      </c>
      <c r="E11" s="162" t="s">
        <v>1409</v>
      </c>
      <c r="F11" s="309" t="s">
        <v>3358</v>
      </c>
      <c r="G11" s="309"/>
      <c r="H11" s="309"/>
      <c r="I11" s="157"/>
      <c r="J11" s="157"/>
      <c r="K11" s="157"/>
    </row>
    <row r="12" spans="1:11" s="179" customFormat="1" ht="18" customHeight="1">
      <c r="A12" s="182"/>
      <c r="B12" s="185" t="s">
        <v>13</v>
      </c>
      <c r="C12" s="196"/>
      <c r="E12" s="162" t="s">
        <v>1410</v>
      </c>
      <c r="F12" s="198">
        <v>64</v>
      </c>
      <c r="G12" s="199"/>
      <c r="H12" s="199"/>
      <c r="I12" s="200"/>
      <c r="J12" s="200"/>
      <c r="K12" s="200"/>
    </row>
    <row r="13" spans="1:11" s="179" customFormat="1" ht="18" customHeight="1" hidden="1">
      <c r="A13" s="182"/>
      <c r="B13" s="185" t="s">
        <v>14</v>
      </c>
      <c r="C13" s="196"/>
      <c r="E13" s="201"/>
      <c r="F13" s="157"/>
      <c r="G13" s="157"/>
      <c r="H13" s="157"/>
      <c r="I13" s="157"/>
      <c r="J13" s="157"/>
      <c r="K13" s="157"/>
    </row>
    <row r="14" spans="1:11" s="179" customFormat="1" ht="18" customHeight="1">
      <c r="A14" s="182"/>
      <c r="B14" s="186" t="s">
        <v>16</v>
      </c>
      <c r="C14" s="202">
        <f>SUM(C9:C13)</f>
        <v>1</v>
      </c>
      <c r="E14" s="161" t="s">
        <v>1411</v>
      </c>
      <c r="F14" s="309" t="s">
        <v>3156</v>
      </c>
      <c r="G14" s="309"/>
      <c r="H14" s="309"/>
      <c r="I14" s="309"/>
      <c r="J14" s="309"/>
      <c r="K14" s="309"/>
    </row>
    <row r="15" spans="2:11" ht="16.5" customHeight="1">
      <c r="B15" s="195"/>
      <c r="C15" s="195"/>
      <c r="D15" s="195"/>
      <c r="E15" s="183"/>
      <c r="F15" s="195"/>
      <c r="G15" s="195"/>
      <c r="H15" s="195"/>
      <c r="I15" s="195"/>
      <c r="J15" s="195"/>
      <c r="K15" s="184"/>
    </row>
    <row r="16" spans="1:11" s="157" customFormat="1" ht="30.75" customHeight="1">
      <c r="A16" s="178" t="s">
        <v>17</v>
      </c>
      <c r="B16" s="175" t="s">
        <v>3151</v>
      </c>
      <c r="C16" s="176" t="s">
        <v>8</v>
      </c>
      <c r="D16" s="175" t="s">
        <v>9</v>
      </c>
      <c r="E16" s="177" t="s">
        <v>3144</v>
      </c>
      <c r="F16" s="173" t="s">
        <v>3146</v>
      </c>
      <c r="G16" s="173" t="s">
        <v>3352</v>
      </c>
      <c r="H16" s="173" t="s">
        <v>1407</v>
      </c>
      <c r="I16" s="173"/>
      <c r="J16" s="174"/>
      <c r="K16" s="173" t="s">
        <v>15</v>
      </c>
    </row>
    <row r="17" spans="1:11" s="157" customFormat="1" ht="18" customHeight="1">
      <c r="A17" s="214">
        <v>1</v>
      </c>
      <c r="B17" s="163" t="s">
        <v>3157</v>
      </c>
      <c r="C17" s="191" t="s">
        <v>3158</v>
      </c>
      <c r="D17" s="190" t="s">
        <v>3159</v>
      </c>
      <c r="E17" s="203" t="s">
        <v>845</v>
      </c>
      <c r="F17" s="218">
        <v>7</v>
      </c>
      <c r="G17" s="219">
        <v>8</v>
      </c>
      <c r="H17" s="156">
        <v>4</v>
      </c>
      <c r="I17" s="156"/>
      <c r="J17" s="156"/>
      <c r="K17" s="217">
        <f aca="true" t="shared" si="0" ref="K17:K80">ROUND(F17*$C$9+G17*$C$10+H17*$C$11+I17*$C$12+J17*$C$13,1)</f>
        <v>5.5</v>
      </c>
    </row>
    <row r="18" spans="1:11" s="157" customFormat="1" ht="18" customHeight="1">
      <c r="A18" s="214">
        <v>2</v>
      </c>
      <c r="B18" s="163" t="s">
        <v>3160</v>
      </c>
      <c r="C18" s="191" t="s">
        <v>3161</v>
      </c>
      <c r="D18" s="190" t="s">
        <v>3162</v>
      </c>
      <c r="E18" s="203" t="s">
        <v>845</v>
      </c>
      <c r="F18" s="218">
        <v>8</v>
      </c>
      <c r="G18" s="219">
        <v>7</v>
      </c>
      <c r="H18" s="158">
        <v>5</v>
      </c>
      <c r="I18" s="158"/>
      <c r="J18" s="158"/>
      <c r="K18" s="217">
        <f t="shared" si="0"/>
        <v>5.9</v>
      </c>
    </row>
    <row r="19" spans="1:11" s="157" customFormat="1" ht="18" customHeight="1">
      <c r="A19" s="214">
        <v>3</v>
      </c>
      <c r="B19" s="163" t="s">
        <v>3163</v>
      </c>
      <c r="C19" s="191" t="s">
        <v>3164</v>
      </c>
      <c r="D19" s="190" t="s">
        <v>3165</v>
      </c>
      <c r="E19" s="203" t="s">
        <v>845</v>
      </c>
      <c r="F19" s="218">
        <v>9</v>
      </c>
      <c r="G19" s="219">
        <v>8</v>
      </c>
      <c r="H19" s="156">
        <v>5</v>
      </c>
      <c r="I19" s="156"/>
      <c r="J19" s="156"/>
      <c r="K19" s="217">
        <f t="shared" si="0"/>
        <v>6.3</v>
      </c>
    </row>
    <row r="20" spans="1:12" s="231" customFormat="1" ht="18" customHeight="1">
      <c r="A20" s="224">
        <v>4</v>
      </c>
      <c r="B20" s="225" t="s">
        <v>3166</v>
      </c>
      <c r="C20" s="242" t="s">
        <v>3167</v>
      </c>
      <c r="D20" s="227" t="s">
        <v>3168</v>
      </c>
      <c r="E20" s="228" t="s">
        <v>845</v>
      </c>
      <c r="F20" s="222">
        <v>7</v>
      </c>
      <c r="G20" s="244">
        <v>7</v>
      </c>
      <c r="H20" s="229">
        <v>1</v>
      </c>
      <c r="I20" s="229"/>
      <c r="J20" s="229"/>
      <c r="K20" s="230">
        <f t="shared" si="0"/>
        <v>3.4</v>
      </c>
      <c r="L20" s="231" t="s">
        <v>3351</v>
      </c>
    </row>
    <row r="21" spans="1:11" s="157" customFormat="1" ht="18" customHeight="1">
      <c r="A21" s="214">
        <v>5</v>
      </c>
      <c r="B21" s="163" t="s">
        <v>3169</v>
      </c>
      <c r="C21" s="191" t="s">
        <v>3170</v>
      </c>
      <c r="D21" s="189" t="s">
        <v>3171</v>
      </c>
      <c r="E21" s="203" t="s">
        <v>845</v>
      </c>
      <c r="F21" s="218">
        <v>9</v>
      </c>
      <c r="G21" s="219">
        <v>8</v>
      </c>
      <c r="H21" s="156">
        <v>5</v>
      </c>
      <c r="I21" s="156"/>
      <c r="J21" s="156"/>
      <c r="K21" s="217">
        <f t="shared" si="0"/>
        <v>6.3</v>
      </c>
    </row>
    <row r="22" spans="1:11" s="157" customFormat="1" ht="18" customHeight="1">
      <c r="A22" s="214">
        <v>6</v>
      </c>
      <c r="B22" s="163" t="s">
        <v>3172</v>
      </c>
      <c r="C22" s="191" t="s">
        <v>3173</v>
      </c>
      <c r="D22" s="189" t="s">
        <v>3174</v>
      </c>
      <c r="E22" s="203" t="s">
        <v>845</v>
      </c>
      <c r="F22" s="218">
        <v>9</v>
      </c>
      <c r="G22" s="219">
        <v>8</v>
      </c>
      <c r="H22" s="156">
        <v>5</v>
      </c>
      <c r="I22" s="156"/>
      <c r="J22" s="156"/>
      <c r="K22" s="217">
        <f t="shared" si="0"/>
        <v>6.3</v>
      </c>
    </row>
    <row r="23" spans="1:11" s="157" customFormat="1" ht="18" customHeight="1">
      <c r="A23" s="214">
        <v>7</v>
      </c>
      <c r="B23" s="163" t="s">
        <v>3175</v>
      </c>
      <c r="C23" s="191" t="s">
        <v>2384</v>
      </c>
      <c r="D23" s="190" t="s">
        <v>3176</v>
      </c>
      <c r="E23" s="203" t="s">
        <v>845</v>
      </c>
      <c r="F23" s="218">
        <v>7</v>
      </c>
      <c r="G23" s="219">
        <v>8</v>
      </c>
      <c r="H23" s="156">
        <v>5</v>
      </c>
      <c r="I23" s="156"/>
      <c r="J23" s="156"/>
      <c r="K23" s="217">
        <f t="shared" si="0"/>
        <v>6.1</v>
      </c>
    </row>
    <row r="24" spans="1:11" s="157" customFormat="1" ht="18" customHeight="1">
      <c r="A24" s="214">
        <v>8</v>
      </c>
      <c r="B24" s="163" t="s">
        <v>3177</v>
      </c>
      <c r="C24" s="191" t="s">
        <v>3178</v>
      </c>
      <c r="D24" s="190" t="s">
        <v>3179</v>
      </c>
      <c r="E24" s="203" t="s">
        <v>845</v>
      </c>
      <c r="F24" s="218">
        <v>9</v>
      </c>
      <c r="G24" s="219">
        <v>8</v>
      </c>
      <c r="H24" s="156">
        <v>6.5</v>
      </c>
      <c r="I24" s="156"/>
      <c r="J24" s="156"/>
      <c r="K24" s="217">
        <f t="shared" si="0"/>
        <v>7.2</v>
      </c>
    </row>
    <row r="25" spans="1:11" s="157" customFormat="1" ht="18" customHeight="1">
      <c r="A25" s="214">
        <v>9</v>
      </c>
      <c r="B25" s="163" t="s">
        <v>3180</v>
      </c>
      <c r="C25" s="191" t="s">
        <v>3181</v>
      </c>
      <c r="D25" s="190" t="s">
        <v>3182</v>
      </c>
      <c r="E25" s="203" t="s">
        <v>845</v>
      </c>
      <c r="F25" s="218">
        <v>8</v>
      </c>
      <c r="G25" s="219">
        <v>6</v>
      </c>
      <c r="H25" s="156">
        <v>4.5</v>
      </c>
      <c r="I25" s="156"/>
      <c r="J25" s="156"/>
      <c r="K25" s="217">
        <f t="shared" si="0"/>
        <v>5.3</v>
      </c>
    </row>
    <row r="26" spans="1:11" s="157" customFormat="1" ht="18" customHeight="1">
      <c r="A26" s="214">
        <v>10</v>
      </c>
      <c r="B26" s="163" t="s">
        <v>3183</v>
      </c>
      <c r="C26" s="191" t="s">
        <v>3184</v>
      </c>
      <c r="D26" s="190" t="s">
        <v>3185</v>
      </c>
      <c r="E26" s="203" t="s">
        <v>845</v>
      </c>
      <c r="F26" s="218">
        <v>9</v>
      </c>
      <c r="G26" s="219">
        <v>8</v>
      </c>
      <c r="H26" s="156">
        <v>6.5</v>
      </c>
      <c r="I26" s="156"/>
      <c r="J26" s="156"/>
      <c r="K26" s="217">
        <f t="shared" si="0"/>
        <v>7.2</v>
      </c>
    </row>
    <row r="27" spans="1:11" s="157" customFormat="1" ht="18" customHeight="1">
      <c r="A27" s="214">
        <v>11</v>
      </c>
      <c r="B27" s="163" t="s">
        <v>3186</v>
      </c>
      <c r="C27" s="191" t="s">
        <v>3187</v>
      </c>
      <c r="D27" s="190" t="s">
        <v>3188</v>
      </c>
      <c r="E27" s="203" t="s">
        <v>845</v>
      </c>
      <c r="F27" s="218">
        <v>7</v>
      </c>
      <c r="G27" s="219">
        <v>7</v>
      </c>
      <c r="H27" s="156">
        <v>5</v>
      </c>
      <c r="I27" s="156"/>
      <c r="J27" s="156"/>
      <c r="K27" s="217">
        <f t="shared" si="0"/>
        <v>5.8</v>
      </c>
    </row>
    <row r="28" spans="1:11" s="157" customFormat="1" ht="18" customHeight="1">
      <c r="A28" s="214">
        <v>12</v>
      </c>
      <c r="B28" s="163" t="s">
        <v>3189</v>
      </c>
      <c r="C28" s="191" t="s">
        <v>3190</v>
      </c>
      <c r="D28" s="190" t="s">
        <v>3191</v>
      </c>
      <c r="E28" s="203" t="s">
        <v>845</v>
      </c>
      <c r="F28" s="218">
        <v>8</v>
      </c>
      <c r="G28" s="219">
        <v>7</v>
      </c>
      <c r="H28" s="156">
        <v>7.5</v>
      </c>
      <c r="I28" s="156"/>
      <c r="J28" s="156"/>
      <c r="K28" s="217">
        <f t="shared" si="0"/>
        <v>7.4</v>
      </c>
    </row>
    <row r="29" spans="1:11" s="157" customFormat="1" ht="18" customHeight="1">
      <c r="A29" s="214">
        <v>13</v>
      </c>
      <c r="B29" s="163" t="s">
        <v>3192</v>
      </c>
      <c r="C29" s="191" t="s">
        <v>2979</v>
      </c>
      <c r="D29" s="190" t="s">
        <v>3193</v>
      </c>
      <c r="E29" s="203" t="s">
        <v>845</v>
      </c>
      <c r="F29" s="218">
        <v>9</v>
      </c>
      <c r="G29" s="219">
        <v>8</v>
      </c>
      <c r="H29" s="156">
        <v>6.5</v>
      </c>
      <c r="I29" s="156"/>
      <c r="J29" s="156"/>
      <c r="K29" s="217">
        <f t="shared" si="0"/>
        <v>7.2</v>
      </c>
    </row>
    <row r="30" spans="1:11" s="157" customFormat="1" ht="18" customHeight="1">
      <c r="A30" s="214">
        <v>14</v>
      </c>
      <c r="B30" s="163" t="s">
        <v>3194</v>
      </c>
      <c r="C30" s="191" t="s">
        <v>3195</v>
      </c>
      <c r="D30" s="190" t="s">
        <v>3196</v>
      </c>
      <c r="E30" s="203" t="s">
        <v>845</v>
      </c>
      <c r="F30" s="218">
        <v>9</v>
      </c>
      <c r="G30" s="219">
        <v>5</v>
      </c>
      <c r="H30" s="156">
        <v>6.5</v>
      </c>
      <c r="I30" s="156"/>
      <c r="J30" s="156"/>
      <c r="K30" s="217">
        <f t="shared" si="0"/>
        <v>6.3</v>
      </c>
    </row>
    <row r="31" spans="1:11" s="231" customFormat="1" ht="18" customHeight="1">
      <c r="A31" s="224">
        <v>15</v>
      </c>
      <c r="B31" s="225" t="s">
        <v>3197</v>
      </c>
      <c r="C31" s="242" t="s">
        <v>3198</v>
      </c>
      <c r="D31" s="227" t="s">
        <v>3199</v>
      </c>
      <c r="E31" s="228" t="s">
        <v>845</v>
      </c>
      <c r="F31" s="222" t="s">
        <v>3346</v>
      </c>
      <c r="G31" s="244">
        <v>0</v>
      </c>
      <c r="H31" s="229"/>
      <c r="I31" s="229"/>
      <c r="J31" s="229"/>
      <c r="K31" s="232" t="e">
        <f t="shared" si="0"/>
        <v>#VALUE!</v>
      </c>
    </row>
    <row r="32" spans="1:11" s="231" customFormat="1" ht="18" customHeight="1">
      <c r="A32" s="224">
        <v>16</v>
      </c>
      <c r="B32" s="225" t="s">
        <v>3200</v>
      </c>
      <c r="C32" s="242" t="s">
        <v>3201</v>
      </c>
      <c r="D32" s="227" t="s">
        <v>3202</v>
      </c>
      <c r="E32" s="228" t="s">
        <v>845</v>
      </c>
      <c r="F32" s="222" t="s">
        <v>3346</v>
      </c>
      <c r="G32" s="244">
        <v>0</v>
      </c>
      <c r="H32" s="229"/>
      <c r="I32" s="229"/>
      <c r="J32" s="229"/>
      <c r="K32" s="232" t="e">
        <f t="shared" si="0"/>
        <v>#VALUE!</v>
      </c>
    </row>
    <row r="33" spans="1:11" s="157" customFormat="1" ht="18" customHeight="1">
      <c r="A33" s="214"/>
      <c r="B33" s="163" t="s">
        <v>3340</v>
      </c>
      <c r="C33" s="191" t="s">
        <v>3341</v>
      </c>
      <c r="D33" s="190" t="s">
        <v>3342</v>
      </c>
      <c r="E33" s="203" t="s">
        <v>846</v>
      </c>
      <c r="F33" s="218">
        <v>8</v>
      </c>
      <c r="G33" s="220">
        <v>7</v>
      </c>
      <c r="H33" s="156">
        <v>6</v>
      </c>
      <c r="I33" s="156"/>
      <c r="J33" s="156"/>
      <c r="K33" s="217">
        <f t="shared" si="0"/>
        <v>6.5</v>
      </c>
    </row>
    <row r="34" spans="1:11" s="157" customFormat="1" ht="18" customHeight="1">
      <c r="A34" s="214">
        <v>17</v>
      </c>
      <c r="B34" s="163" t="s">
        <v>3203</v>
      </c>
      <c r="C34" s="191" t="s">
        <v>3204</v>
      </c>
      <c r="D34" s="190" t="s">
        <v>3205</v>
      </c>
      <c r="E34" s="203" t="s">
        <v>846</v>
      </c>
      <c r="F34" s="218">
        <v>7</v>
      </c>
      <c r="G34" s="220">
        <v>8</v>
      </c>
      <c r="H34" s="156">
        <v>5.5</v>
      </c>
      <c r="I34" s="156"/>
      <c r="J34" s="156"/>
      <c r="K34" s="217">
        <f t="shared" si="0"/>
        <v>6.4</v>
      </c>
    </row>
    <row r="35" spans="1:11" s="157" customFormat="1" ht="18" customHeight="1">
      <c r="A35" s="214">
        <v>18</v>
      </c>
      <c r="B35" s="163" t="s">
        <v>3206</v>
      </c>
      <c r="C35" s="191" t="s">
        <v>3207</v>
      </c>
      <c r="D35" s="190" t="s">
        <v>3208</v>
      </c>
      <c r="E35" s="203" t="s">
        <v>846</v>
      </c>
      <c r="F35" s="218">
        <v>9</v>
      </c>
      <c r="G35" s="220">
        <v>8</v>
      </c>
      <c r="H35" s="156">
        <v>4</v>
      </c>
      <c r="I35" s="156"/>
      <c r="J35" s="156"/>
      <c r="K35" s="217">
        <f t="shared" si="0"/>
        <v>5.7</v>
      </c>
    </row>
    <row r="36" spans="1:11" s="157" customFormat="1" ht="18" customHeight="1">
      <c r="A36" s="214">
        <v>19</v>
      </c>
      <c r="B36" s="163" t="s">
        <v>3209</v>
      </c>
      <c r="C36" s="191" t="s">
        <v>3210</v>
      </c>
      <c r="D36" s="190" t="s">
        <v>3211</v>
      </c>
      <c r="E36" s="203" t="s">
        <v>846</v>
      </c>
      <c r="F36" s="218">
        <v>9</v>
      </c>
      <c r="G36" s="220">
        <v>9</v>
      </c>
      <c r="H36" s="156">
        <v>2.5</v>
      </c>
      <c r="I36" s="156"/>
      <c r="J36" s="156"/>
      <c r="K36" s="217">
        <f t="shared" si="0"/>
        <v>5.1</v>
      </c>
    </row>
    <row r="37" spans="1:11" s="157" customFormat="1" ht="18" customHeight="1">
      <c r="A37" s="214">
        <v>20</v>
      </c>
      <c r="B37" s="163" t="s">
        <v>3212</v>
      </c>
      <c r="C37" s="191" t="s">
        <v>3213</v>
      </c>
      <c r="D37" s="190" t="s">
        <v>3214</v>
      </c>
      <c r="E37" s="203" t="s">
        <v>846</v>
      </c>
      <c r="F37" s="218">
        <v>9</v>
      </c>
      <c r="G37" s="220">
        <v>8</v>
      </c>
      <c r="H37" s="156">
        <v>7</v>
      </c>
      <c r="I37" s="156"/>
      <c r="J37" s="156"/>
      <c r="K37" s="217">
        <f t="shared" si="0"/>
        <v>7.5</v>
      </c>
    </row>
    <row r="38" spans="1:11" s="157" customFormat="1" ht="18" customHeight="1">
      <c r="A38" s="214">
        <v>21</v>
      </c>
      <c r="B38" s="163" t="s">
        <v>3215</v>
      </c>
      <c r="C38" s="191" t="s">
        <v>1462</v>
      </c>
      <c r="D38" s="190" t="s">
        <v>3216</v>
      </c>
      <c r="E38" s="203" t="s">
        <v>846</v>
      </c>
      <c r="F38" s="218">
        <v>8</v>
      </c>
      <c r="G38" s="220">
        <v>8</v>
      </c>
      <c r="H38" s="156">
        <v>1.5</v>
      </c>
      <c r="I38" s="156"/>
      <c r="J38" s="156"/>
      <c r="K38" s="217">
        <f t="shared" si="0"/>
        <v>4.1</v>
      </c>
    </row>
    <row r="39" spans="1:11" s="231" customFormat="1" ht="18" customHeight="1">
      <c r="A39" s="224">
        <v>22</v>
      </c>
      <c r="B39" s="225" t="s">
        <v>3217</v>
      </c>
      <c r="C39" s="242" t="s">
        <v>3218</v>
      </c>
      <c r="D39" s="227" t="s">
        <v>3219</v>
      </c>
      <c r="E39" s="228" t="s">
        <v>847</v>
      </c>
      <c r="F39" s="222" t="s">
        <v>3346</v>
      </c>
      <c r="G39" s="243">
        <v>0</v>
      </c>
      <c r="H39" s="229"/>
      <c r="I39" s="229"/>
      <c r="J39" s="229"/>
      <c r="K39" s="232" t="e">
        <f t="shared" si="0"/>
        <v>#VALUE!</v>
      </c>
    </row>
    <row r="40" spans="1:11" s="157" customFormat="1" ht="18" customHeight="1">
      <c r="A40" s="214">
        <v>23</v>
      </c>
      <c r="B40" s="163" t="s">
        <v>3220</v>
      </c>
      <c r="C40" s="191" t="s">
        <v>3221</v>
      </c>
      <c r="D40" s="190" t="s">
        <v>3222</v>
      </c>
      <c r="E40" s="203" t="s">
        <v>847</v>
      </c>
      <c r="F40" s="218">
        <v>9</v>
      </c>
      <c r="G40" s="220">
        <v>8</v>
      </c>
      <c r="H40" s="156">
        <v>6</v>
      </c>
      <c r="I40" s="156"/>
      <c r="J40" s="156"/>
      <c r="K40" s="217">
        <f t="shared" si="0"/>
        <v>6.9</v>
      </c>
    </row>
    <row r="41" spans="1:11" s="231" customFormat="1" ht="18" customHeight="1">
      <c r="A41" s="224">
        <v>24</v>
      </c>
      <c r="B41" s="225" t="s">
        <v>3223</v>
      </c>
      <c r="C41" s="242" t="s">
        <v>3224</v>
      </c>
      <c r="D41" s="227" t="s">
        <v>3225</v>
      </c>
      <c r="E41" s="228" t="s">
        <v>847</v>
      </c>
      <c r="F41" s="222" t="s">
        <v>3346</v>
      </c>
      <c r="G41" s="243">
        <v>0</v>
      </c>
      <c r="H41" s="229"/>
      <c r="I41" s="229"/>
      <c r="J41" s="229"/>
      <c r="K41" s="232" t="e">
        <f t="shared" si="0"/>
        <v>#VALUE!</v>
      </c>
    </row>
    <row r="42" spans="1:11" s="231" customFormat="1" ht="18" customHeight="1">
      <c r="A42" s="224">
        <v>25</v>
      </c>
      <c r="B42" s="225" t="s">
        <v>3226</v>
      </c>
      <c r="C42" s="242" t="s">
        <v>3227</v>
      </c>
      <c r="D42" s="227" t="s">
        <v>3228</v>
      </c>
      <c r="E42" s="228" t="s">
        <v>847</v>
      </c>
      <c r="F42" s="222" t="s">
        <v>3346</v>
      </c>
      <c r="G42" s="243">
        <v>0</v>
      </c>
      <c r="H42" s="229"/>
      <c r="I42" s="229"/>
      <c r="J42" s="229"/>
      <c r="K42" s="232" t="e">
        <f t="shared" si="0"/>
        <v>#VALUE!</v>
      </c>
    </row>
    <row r="43" spans="1:11" s="157" customFormat="1" ht="18" customHeight="1">
      <c r="A43" s="214">
        <v>26</v>
      </c>
      <c r="B43" s="163" t="s">
        <v>3229</v>
      </c>
      <c r="C43" s="205" t="s">
        <v>3230</v>
      </c>
      <c r="D43" s="190" t="s">
        <v>3231</v>
      </c>
      <c r="E43" s="203" t="s">
        <v>3148</v>
      </c>
      <c r="F43" s="218">
        <v>9</v>
      </c>
      <c r="G43" s="220">
        <v>7</v>
      </c>
      <c r="H43" s="156">
        <v>7</v>
      </c>
      <c r="I43" s="156"/>
      <c r="J43" s="156"/>
      <c r="K43" s="217">
        <f t="shared" si="0"/>
        <v>7.2</v>
      </c>
    </row>
    <row r="44" spans="1:12" s="231" customFormat="1" ht="18" customHeight="1">
      <c r="A44" s="224">
        <v>27</v>
      </c>
      <c r="B44" s="225" t="s">
        <v>3232</v>
      </c>
      <c r="C44" s="226" t="s">
        <v>3233</v>
      </c>
      <c r="D44" s="227" t="s">
        <v>3234</v>
      </c>
      <c r="E44" s="228" t="s">
        <v>3148</v>
      </c>
      <c r="F44" s="222">
        <v>7</v>
      </c>
      <c r="G44" s="243">
        <v>7</v>
      </c>
      <c r="H44" s="229" t="s">
        <v>3347</v>
      </c>
      <c r="I44" s="229"/>
      <c r="J44" s="229"/>
      <c r="K44" s="232" t="e">
        <f t="shared" si="0"/>
        <v>#VALUE!</v>
      </c>
      <c r="L44" s="231" t="s">
        <v>3350</v>
      </c>
    </row>
    <row r="45" spans="1:11" s="157" customFormat="1" ht="18" customHeight="1">
      <c r="A45" s="214">
        <v>28</v>
      </c>
      <c r="B45" s="163" t="s">
        <v>3235</v>
      </c>
      <c r="C45" s="205" t="s">
        <v>42</v>
      </c>
      <c r="D45" s="190" t="s">
        <v>3236</v>
      </c>
      <c r="E45" s="203" t="s">
        <v>3148</v>
      </c>
      <c r="F45" s="218">
        <v>9</v>
      </c>
      <c r="G45" s="220">
        <v>8</v>
      </c>
      <c r="H45" s="156">
        <v>6</v>
      </c>
      <c r="I45" s="156"/>
      <c r="J45" s="156"/>
      <c r="K45" s="217">
        <f t="shared" si="0"/>
        <v>6.9</v>
      </c>
    </row>
    <row r="46" spans="1:11" s="157" customFormat="1" ht="18" customHeight="1">
      <c r="A46" s="214">
        <v>29</v>
      </c>
      <c r="B46" s="163" t="s">
        <v>3237</v>
      </c>
      <c r="C46" s="191" t="s">
        <v>3238</v>
      </c>
      <c r="D46" s="191" t="s">
        <v>3239</v>
      </c>
      <c r="E46" s="203" t="s">
        <v>3149</v>
      </c>
      <c r="F46" s="218">
        <v>9</v>
      </c>
      <c r="G46" s="215">
        <v>9</v>
      </c>
      <c r="H46" s="156">
        <v>7</v>
      </c>
      <c r="I46" s="156"/>
      <c r="J46" s="156"/>
      <c r="K46" s="217">
        <f t="shared" si="0"/>
        <v>7.8</v>
      </c>
    </row>
    <row r="47" spans="1:11" s="231" customFormat="1" ht="18" customHeight="1">
      <c r="A47" s="224">
        <v>30</v>
      </c>
      <c r="B47" s="225" t="s">
        <v>3240</v>
      </c>
      <c r="C47" s="242" t="s">
        <v>3241</v>
      </c>
      <c r="D47" s="242" t="s">
        <v>3242</v>
      </c>
      <c r="E47" s="228" t="s">
        <v>3149</v>
      </c>
      <c r="F47" s="222" t="s">
        <v>3346</v>
      </c>
      <c r="G47" s="223">
        <v>0</v>
      </c>
      <c r="H47" s="229"/>
      <c r="I47" s="229"/>
      <c r="J47" s="229"/>
      <c r="K47" s="232" t="e">
        <f t="shared" si="0"/>
        <v>#VALUE!</v>
      </c>
    </row>
    <row r="48" spans="1:11" s="157" customFormat="1" ht="18" customHeight="1">
      <c r="A48" s="214">
        <v>31</v>
      </c>
      <c r="B48" s="163" t="s">
        <v>3243</v>
      </c>
      <c r="C48" s="191" t="s">
        <v>1614</v>
      </c>
      <c r="D48" s="191" t="s">
        <v>3244</v>
      </c>
      <c r="E48" s="203" t="s">
        <v>3149</v>
      </c>
      <c r="F48" s="218">
        <v>9</v>
      </c>
      <c r="G48" s="215">
        <v>9</v>
      </c>
      <c r="H48" s="156">
        <v>7.5</v>
      </c>
      <c r="I48" s="156"/>
      <c r="J48" s="156"/>
      <c r="K48" s="217">
        <f t="shared" si="0"/>
        <v>8.1</v>
      </c>
    </row>
    <row r="49" spans="1:11" s="157" customFormat="1" ht="18" customHeight="1">
      <c r="A49" s="214">
        <v>32</v>
      </c>
      <c r="B49" s="163" t="s">
        <v>3245</v>
      </c>
      <c r="C49" s="191" t="s">
        <v>3147</v>
      </c>
      <c r="D49" s="191" t="s">
        <v>3246</v>
      </c>
      <c r="E49" s="203" t="s">
        <v>3149</v>
      </c>
      <c r="F49" s="218">
        <v>9</v>
      </c>
      <c r="G49" s="215">
        <v>8</v>
      </c>
      <c r="H49" s="156">
        <v>4.5</v>
      </c>
      <c r="I49" s="156"/>
      <c r="J49" s="156"/>
      <c r="K49" s="217">
        <f t="shared" si="0"/>
        <v>6</v>
      </c>
    </row>
    <row r="50" spans="1:12" s="231" customFormat="1" ht="18" customHeight="1">
      <c r="A50" s="224">
        <v>33</v>
      </c>
      <c r="B50" s="225" t="s">
        <v>3247</v>
      </c>
      <c r="C50" s="242" t="s">
        <v>3248</v>
      </c>
      <c r="D50" s="242" t="s">
        <v>3249</v>
      </c>
      <c r="E50" s="228" t="s">
        <v>3149</v>
      </c>
      <c r="F50" s="222">
        <v>9</v>
      </c>
      <c r="G50" s="223">
        <v>9</v>
      </c>
      <c r="H50" s="229" t="s">
        <v>3347</v>
      </c>
      <c r="I50" s="229"/>
      <c r="J50" s="229"/>
      <c r="K50" s="232" t="e">
        <f t="shared" si="0"/>
        <v>#VALUE!</v>
      </c>
      <c r="L50" s="231" t="s">
        <v>3350</v>
      </c>
    </row>
    <row r="51" spans="1:11" s="157" customFormat="1" ht="18" customHeight="1">
      <c r="A51" s="214">
        <v>34</v>
      </c>
      <c r="B51" s="163" t="s">
        <v>3250</v>
      </c>
      <c r="C51" s="191" t="s">
        <v>2274</v>
      </c>
      <c r="D51" s="191" t="s">
        <v>3251</v>
      </c>
      <c r="E51" s="203" t="s">
        <v>3149</v>
      </c>
      <c r="F51" s="218">
        <v>9</v>
      </c>
      <c r="G51" s="215">
        <v>8</v>
      </c>
      <c r="H51" s="156">
        <v>7</v>
      </c>
      <c r="I51" s="156"/>
      <c r="J51" s="156"/>
      <c r="K51" s="217">
        <f t="shared" si="0"/>
        <v>7.5</v>
      </c>
    </row>
    <row r="52" spans="1:11" s="157" customFormat="1" ht="18" customHeight="1">
      <c r="A52" s="214">
        <v>35</v>
      </c>
      <c r="B52" s="163" t="s">
        <v>3252</v>
      </c>
      <c r="C52" s="191" t="s">
        <v>3253</v>
      </c>
      <c r="D52" s="191" t="s">
        <v>3254</v>
      </c>
      <c r="E52" s="203" t="s">
        <v>3149</v>
      </c>
      <c r="F52" s="218">
        <v>9</v>
      </c>
      <c r="G52" s="215">
        <v>9</v>
      </c>
      <c r="H52" s="156">
        <v>6.5</v>
      </c>
      <c r="I52" s="156"/>
      <c r="J52" s="156"/>
      <c r="K52" s="217">
        <f t="shared" si="0"/>
        <v>7.5</v>
      </c>
    </row>
    <row r="53" spans="1:11" s="157" customFormat="1" ht="18" customHeight="1">
      <c r="A53" s="214">
        <v>36</v>
      </c>
      <c r="B53" s="163" t="s">
        <v>3255</v>
      </c>
      <c r="C53" s="191" t="s">
        <v>3256</v>
      </c>
      <c r="D53" s="191" t="s">
        <v>3257</v>
      </c>
      <c r="E53" s="203" t="s">
        <v>3149</v>
      </c>
      <c r="F53" s="218">
        <v>7</v>
      </c>
      <c r="G53" s="215">
        <v>7</v>
      </c>
      <c r="H53" s="156">
        <v>7</v>
      </c>
      <c r="I53" s="156"/>
      <c r="J53" s="156"/>
      <c r="K53" s="217">
        <f t="shared" si="0"/>
        <v>7</v>
      </c>
    </row>
    <row r="54" spans="1:11" s="157" customFormat="1" ht="18" customHeight="1">
      <c r="A54" s="214">
        <v>37</v>
      </c>
      <c r="B54" s="163" t="s">
        <v>3258</v>
      </c>
      <c r="C54" s="191" t="s">
        <v>3259</v>
      </c>
      <c r="D54" s="191" t="s">
        <v>3260</v>
      </c>
      <c r="E54" s="203" t="s">
        <v>3149</v>
      </c>
      <c r="F54" s="218">
        <v>7</v>
      </c>
      <c r="G54" s="215">
        <v>8</v>
      </c>
      <c r="H54" s="156">
        <v>7</v>
      </c>
      <c r="I54" s="156"/>
      <c r="J54" s="156"/>
      <c r="K54" s="217">
        <f t="shared" si="0"/>
        <v>7.3</v>
      </c>
    </row>
    <row r="55" spans="1:11" s="239" customFormat="1" ht="18" customHeight="1">
      <c r="A55" s="233">
        <v>38</v>
      </c>
      <c r="B55" s="234" t="s">
        <v>3261</v>
      </c>
      <c r="C55" s="241" t="s">
        <v>3262</v>
      </c>
      <c r="D55" s="241" t="s">
        <v>3263</v>
      </c>
      <c r="E55" s="237" t="s">
        <v>3149</v>
      </c>
      <c r="F55" s="221" t="s">
        <v>3346</v>
      </c>
      <c r="G55" s="216">
        <v>0</v>
      </c>
      <c r="H55" s="238"/>
      <c r="I55" s="238"/>
      <c r="J55" s="238"/>
      <c r="K55" s="240" t="e">
        <f t="shared" si="0"/>
        <v>#VALUE!</v>
      </c>
    </row>
    <row r="56" spans="1:11" s="157" customFormat="1" ht="18" customHeight="1">
      <c r="A56" s="214">
        <v>39</v>
      </c>
      <c r="B56" s="163" t="s">
        <v>3264</v>
      </c>
      <c r="C56" s="191" t="s">
        <v>3265</v>
      </c>
      <c r="D56" s="191" t="s">
        <v>3266</v>
      </c>
      <c r="E56" s="203" t="s">
        <v>3149</v>
      </c>
      <c r="F56" s="218">
        <v>9</v>
      </c>
      <c r="G56" s="215">
        <v>9</v>
      </c>
      <c r="H56" s="156">
        <v>5.5</v>
      </c>
      <c r="I56" s="156"/>
      <c r="J56" s="156"/>
      <c r="K56" s="217">
        <f t="shared" si="0"/>
        <v>6.9</v>
      </c>
    </row>
    <row r="57" spans="1:11" s="157" customFormat="1" ht="18" customHeight="1">
      <c r="A57" s="214">
        <v>40</v>
      </c>
      <c r="B57" s="163" t="s">
        <v>3267</v>
      </c>
      <c r="C57" s="205" t="s">
        <v>3268</v>
      </c>
      <c r="D57" s="190" t="s">
        <v>3269</v>
      </c>
      <c r="E57" s="203" t="s">
        <v>850</v>
      </c>
      <c r="F57" s="218">
        <v>9</v>
      </c>
      <c r="G57" s="215">
        <v>8</v>
      </c>
      <c r="H57" s="156">
        <v>7.5</v>
      </c>
      <c r="I57" s="156"/>
      <c r="J57" s="156"/>
      <c r="K57" s="217">
        <f t="shared" si="0"/>
        <v>7.8</v>
      </c>
    </row>
    <row r="58" spans="1:11" s="157" customFormat="1" ht="18" customHeight="1">
      <c r="A58" s="214">
        <v>41</v>
      </c>
      <c r="B58" s="163" t="s">
        <v>3270</v>
      </c>
      <c r="C58" s="205" t="s">
        <v>3271</v>
      </c>
      <c r="D58" s="190" t="s">
        <v>3272</v>
      </c>
      <c r="E58" s="203" t="s">
        <v>3273</v>
      </c>
      <c r="F58" s="218">
        <v>9</v>
      </c>
      <c r="G58" s="215">
        <v>8</v>
      </c>
      <c r="H58" s="156">
        <v>8.5</v>
      </c>
      <c r="I58" s="156"/>
      <c r="J58" s="156"/>
      <c r="K58" s="217">
        <f t="shared" si="0"/>
        <v>8.4</v>
      </c>
    </row>
    <row r="59" spans="1:11" s="157" customFormat="1" ht="18" customHeight="1">
      <c r="A59" s="214">
        <v>42</v>
      </c>
      <c r="B59" s="163" t="s">
        <v>3274</v>
      </c>
      <c r="C59" s="205" t="s">
        <v>3275</v>
      </c>
      <c r="D59" s="190" t="s">
        <v>3276</v>
      </c>
      <c r="E59" s="203" t="s">
        <v>3273</v>
      </c>
      <c r="F59" s="218">
        <v>9</v>
      </c>
      <c r="G59" s="215">
        <v>8</v>
      </c>
      <c r="H59" s="156">
        <v>8</v>
      </c>
      <c r="I59" s="156"/>
      <c r="J59" s="156"/>
      <c r="K59" s="217">
        <f t="shared" si="0"/>
        <v>8.1</v>
      </c>
    </row>
    <row r="60" spans="1:11" s="157" customFormat="1" ht="18" customHeight="1">
      <c r="A60" s="214">
        <v>43</v>
      </c>
      <c r="B60" s="163" t="s">
        <v>3277</v>
      </c>
      <c r="C60" s="205" t="s">
        <v>3278</v>
      </c>
      <c r="D60" s="190" t="s">
        <v>3279</v>
      </c>
      <c r="E60" s="203" t="s">
        <v>3273</v>
      </c>
      <c r="F60" s="218">
        <v>9</v>
      </c>
      <c r="G60" s="215">
        <v>8</v>
      </c>
      <c r="H60" s="156">
        <v>9</v>
      </c>
      <c r="I60" s="156"/>
      <c r="J60" s="156"/>
      <c r="K60" s="217">
        <f t="shared" si="0"/>
        <v>8.7</v>
      </c>
    </row>
    <row r="61" spans="1:11" s="157" customFormat="1" ht="18" customHeight="1">
      <c r="A61" s="214">
        <v>44</v>
      </c>
      <c r="B61" s="163" t="s">
        <v>3280</v>
      </c>
      <c r="C61" s="205" t="s">
        <v>3281</v>
      </c>
      <c r="D61" s="190" t="s">
        <v>3282</v>
      </c>
      <c r="E61" s="203" t="s">
        <v>851</v>
      </c>
      <c r="F61" s="218">
        <v>9</v>
      </c>
      <c r="G61" s="215">
        <v>7</v>
      </c>
      <c r="H61" s="156">
        <v>9</v>
      </c>
      <c r="I61" s="156"/>
      <c r="J61" s="156"/>
      <c r="K61" s="217">
        <f t="shared" si="0"/>
        <v>8.4</v>
      </c>
    </row>
    <row r="62" spans="1:11" s="239" customFormat="1" ht="18" customHeight="1">
      <c r="A62" s="233">
        <v>45</v>
      </c>
      <c r="B62" s="234" t="s">
        <v>3283</v>
      </c>
      <c r="C62" s="235" t="s">
        <v>1858</v>
      </c>
      <c r="D62" s="236" t="s">
        <v>3284</v>
      </c>
      <c r="E62" s="237" t="s">
        <v>851</v>
      </c>
      <c r="F62" s="221" t="s">
        <v>3346</v>
      </c>
      <c r="G62" s="216">
        <v>0</v>
      </c>
      <c r="H62" s="238"/>
      <c r="I62" s="238"/>
      <c r="J62" s="238"/>
      <c r="K62" s="240" t="e">
        <f t="shared" si="0"/>
        <v>#VALUE!</v>
      </c>
    </row>
    <row r="63" spans="1:11" s="157" customFormat="1" ht="18" customHeight="1">
      <c r="A63" s="214">
        <v>46</v>
      </c>
      <c r="B63" s="163" t="s">
        <v>3285</v>
      </c>
      <c r="C63" s="205" t="s">
        <v>3286</v>
      </c>
      <c r="D63" s="190" t="s">
        <v>3287</v>
      </c>
      <c r="E63" s="203" t="s">
        <v>851</v>
      </c>
      <c r="F63" s="218">
        <v>9</v>
      </c>
      <c r="G63" s="215">
        <v>7</v>
      </c>
      <c r="H63" s="156">
        <v>8</v>
      </c>
      <c r="I63" s="156"/>
      <c r="J63" s="156"/>
      <c r="K63" s="217">
        <f t="shared" si="0"/>
        <v>7.8</v>
      </c>
    </row>
    <row r="64" spans="1:11" s="157" customFormat="1" ht="18" customHeight="1">
      <c r="A64" s="214">
        <v>47</v>
      </c>
      <c r="B64" s="163" t="s">
        <v>3288</v>
      </c>
      <c r="C64" s="205" t="s">
        <v>3289</v>
      </c>
      <c r="D64" s="190" t="s">
        <v>3290</v>
      </c>
      <c r="E64" s="203" t="s">
        <v>853</v>
      </c>
      <c r="F64" s="218">
        <v>9</v>
      </c>
      <c r="G64" s="215">
        <v>7</v>
      </c>
      <c r="H64" s="156">
        <v>7.5</v>
      </c>
      <c r="I64" s="156"/>
      <c r="J64" s="156"/>
      <c r="K64" s="217">
        <f t="shared" si="0"/>
        <v>7.5</v>
      </c>
    </row>
    <row r="65" spans="1:11" s="157" customFormat="1" ht="18" customHeight="1">
      <c r="A65" s="214">
        <v>48</v>
      </c>
      <c r="B65" s="163" t="s">
        <v>3291</v>
      </c>
      <c r="C65" s="205" t="s">
        <v>3292</v>
      </c>
      <c r="D65" s="190" t="s">
        <v>3293</v>
      </c>
      <c r="E65" s="203" t="s">
        <v>853</v>
      </c>
      <c r="F65" s="218">
        <v>9</v>
      </c>
      <c r="G65" s="215">
        <v>7</v>
      </c>
      <c r="H65" s="156">
        <v>5</v>
      </c>
      <c r="I65" s="156"/>
      <c r="J65" s="156"/>
      <c r="K65" s="217">
        <f t="shared" si="0"/>
        <v>6</v>
      </c>
    </row>
    <row r="66" spans="1:11" s="157" customFormat="1" ht="18" customHeight="1">
      <c r="A66" s="214">
        <v>49</v>
      </c>
      <c r="B66" s="163" t="s">
        <v>3294</v>
      </c>
      <c r="C66" s="205" t="s">
        <v>3295</v>
      </c>
      <c r="D66" s="190" t="s">
        <v>3296</v>
      </c>
      <c r="E66" s="203" t="s">
        <v>854</v>
      </c>
      <c r="F66" s="218">
        <v>9</v>
      </c>
      <c r="G66" s="215">
        <v>8</v>
      </c>
      <c r="H66" s="156">
        <v>8</v>
      </c>
      <c r="I66" s="156"/>
      <c r="J66" s="156"/>
      <c r="K66" s="217">
        <f t="shared" si="0"/>
        <v>8.1</v>
      </c>
    </row>
    <row r="67" spans="1:11" s="157" customFormat="1" ht="18" customHeight="1">
      <c r="A67" s="214">
        <v>50</v>
      </c>
      <c r="B67" s="163" t="s">
        <v>3297</v>
      </c>
      <c r="C67" s="205" t="s">
        <v>3298</v>
      </c>
      <c r="D67" s="190" t="s">
        <v>3299</v>
      </c>
      <c r="E67" s="203" t="s">
        <v>854</v>
      </c>
      <c r="F67" s="218">
        <v>9</v>
      </c>
      <c r="G67" s="215">
        <v>8</v>
      </c>
      <c r="H67" s="156">
        <v>8.5</v>
      </c>
      <c r="I67" s="156"/>
      <c r="J67" s="156"/>
      <c r="K67" s="217">
        <f t="shared" si="0"/>
        <v>8.4</v>
      </c>
    </row>
    <row r="68" spans="1:11" s="157" customFormat="1" ht="18" customHeight="1">
      <c r="A68" s="214">
        <v>51</v>
      </c>
      <c r="B68" s="163" t="s">
        <v>3300</v>
      </c>
      <c r="C68" s="205" t="s">
        <v>3301</v>
      </c>
      <c r="D68" s="189" t="s">
        <v>3302</v>
      </c>
      <c r="E68" s="203" t="s">
        <v>854</v>
      </c>
      <c r="F68" s="218">
        <v>9</v>
      </c>
      <c r="G68" s="215">
        <v>8</v>
      </c>
      <c r="H68" s="156">
        <v>8</v>
      </c>
      <c r="I68" s="156"/>
      <c r="J68" s="156"/>
      <c r="K68" s="217">
        <f t="shared" si="0"/>
        <v>8.1</v>
      </c>
    </row>
    <row r="69" spans="1:11" s="157" customFormat="1" ht="18" customHeight="1">
      <c r="A69" s="214">
        <v>52</v>
      </c>
      <c r="B69" s="163" t="s">
        <v>3303</v>
      </c>
      <c r="C69" s="205" t="s">
        <v>3301</v>
      </c>
      <c r="D69" s="190" t="s">
        <v>3304</v>
      </c>
      <c r="E69" s="203" t="s">
        <v>854</v>
      </c>
      <c r="F69" s="218">
        <v>9</v>
      </c>
      <c r="G69" s="215">
        <v>8</v>
      </c>
      <c r="H69" s="156">
        <v>8</v>
      </c>
      <c r="I69" s="156"/>
      <c r="J69" s="156"/>
      <c r="K69" s="217">
        <f t="shared" si="0"/>
        <v>8.1</v>
      </c>
    </row>
    <row r="70" spans="1:11" s="157" customFormat="1" ht="18" customHeight="1">
      <c r="A70" s="214">
        <v>53</v>
      </c>
      <c r="B70" s="163" t="s">
        <v>3305</v>
      </c>
      <c r="C70" s="205" t="s">
        <v>3306</v>
      </c>
      <c r="D70" s="190" t="s">
        <v>3307</v>
      </c>
      <c r="E70" s="203" t="s">
        <v>854</v>
      </c>
      <c r="F70" s="218">
        <v>9</v>
      </c>
      <c r="G70" s="215">
        <v>8</v>
      </c>
      <c r="H70" s="156">
        <v>4</v>
      </c>
      <c r="I70" s="156"/>
      <c r="J70" s="156"/>
      <c r="K70" s="217">
        <f t="shared" si="0"/>
        <v>5.7</v>
      </c>
    </row>
    <row r="71" spans="1:11" s="157" customFormat="1" ht="18" customHeight="1">
      <c r="A71" s="214">
        <v>54</v>
      </c>
      <c r="B71" s="163" t="s">
        <v>3308</v>
      </c>
      <c r="C71" s="205" t="s">
        <v>3309</v>
      </c>
      <c r="D71" s="190" t="s">
        <v>3310</v>
      </c>
      <c r="E71" s="203" t="s">
        <v>854</v>
      </c>
      <c r="F71" s="218">
        <v>9</v>
      </c>
      <c r="G71" s="215">
        <v>8</v>
      </c>
      <c r="H71" s="156">
        <v>2</v>
      </c>
      <c r="I71" s="156"/>
      <c r="J71" s="156"/>
      <c r="K71" s="217">
        <f t="shared" si="0"/>
        <v>4.5</v>
      </c>
    </row>
    <row r="72" spans="1:11" s="157" customFormat="1" ht="18" customHeight="1">
      <c r="A72" s="214">
        <v>55</v>
      </c>
      <c r="B72" s="163" t="s">
        <v>3311</v>
      </c>
      <c r="C72" s="205" t="s">
        <v>3312</v>
      </c>
      <c r="D72" s="190" t="s">
        <v>3313</v>
      </c>
      <c r="E72" s="203" t="s">
        <v>855</v>
      </c>
      <c r="F72" s="218">
        <v>9</v>
      </c>
      <c r="G72" s="215">
        <v>8</v>
      </c>
      <c r="H72" s="156">
        <v>8</v>
      </c>
      <c r="I72" s="156"/>
      <c r="J72" s="156"/>
      <c r="K72" s="217">
        <f t="shared" si="0"/>
        <v>8.1</v>
      </c>
    </row>
    <row r="73" spans="1:11" s="157" customFormat="1" ht="18" customHeight="1">
      <c r="A73" s="214">
        <v>56</v>
      </c>
      <c r="B73" s="163" t="s">
        <v>3314</v>
      </c>
      <c r="C73" s="205" t="s">
        <v>3315</v>
      </c>
      <c r="D73" s="190" t="s">
        <v>3316</v>
      </c>
      <c r="E73" s="203" t="s">
        <v>855</v>
      </c>
      <c r="F73" s="218">
        <v>7</v>
      </c>
      <c r="G73" s="215">
        <v>7</v>
      </c>
      <c r="H73" s="156">
        <v>6</v>
      </c>
      <c r="I73" s="156"/>
      <c r="J73" s="156"/>
      <c r="K73" s="217">
        <f t="shared" si="0"/>
        <v>6.4</v>
      </c>
    </row>
    <row r="74" spans="1:11" s="157" customFormat="1" ht="18" customHeight="1">
      <c r="A74" s="214">
        <v>57</v>
      </c>
      <c r="B74" s="163" t="s">
        <v>3317</v>
      </c>
      <c r="C74" s="205" t="s">
        <v>3318</v>
      </c>
      <c r="D74" s="190" t="s">
        <v>3319</v>
      </c>
      <c r="E74" s="203" t="s">
        <v>855</v>
      </c>
      <c r="F74" s="218">
        <v>8</v>
      </c>
      <c r="G74" s="215">
        <v>8</v>
      </c>
      <c r="H74" s="156">
        <v>9</v>
      </c>
      <c r="I74" s="156"/>
      <c r="J74" s="156"/>
      <c r="K74" s="217">
        <f t="shared" si="0"/>
        <v>8.6</v>
      </c>
    </row>
    <row r="75" spans="1:11" s="157" customFormat="1" ht="18" customHeight="1">
      <c r="A75" s="214">
        <v>58</v>
      </c>
      <c r="B75" s="163" t="s">
        <v>3320</v>
      </c>
      <c r="C75" s="205" t="s">
        <v>3321</v>
      </c>
      <c r="D75" s="190" t="s">
        <v>3322</v>
      </c>
      <c r="E75" s="203" t="s">
        <v>855</v>
      </c>
      <c r="F75" s="218">
        <v>9</v>
      </c>
      <c r="G75" s="215">
        <v>9</v>
      </c>
      <c r="H75" s="156">
        <v>8</v>
      </c>
      <c r="I75" s="156"/>
      <c r="J75" s="156"/>
      <c r="K75" s="217">
        <f t="shared" si="0"/>
        <v>8.4</v>
      </c>
    </row>
    <row r="76" spans="1:11" s="231" customFormat="1" ht="18" customHeight="1">
      <c r="A76" s="224">
        <v>59</v>
      </c>
      <c r="B76" s="225" t="s">
        <v>3323</v>
      </c>
      <c r="C76" s="226" t="s">
        <v>3324</v>
      </c>
      <c r="D76" s="227" t="s">
        <v>3325</v>
      </c>
      <c r="E76" s="228" t="s">
        <v>3150</v>
      </c>
      <c r="F76" s="222" t="s">
        <v>3346</v>
      </c>
      <c r="G76" s="223">
        <v>0</v>
      </c>
      <c r="H76" s="229"/>
      <c r="I76" s="229"/>
      <c r="J76" s="229"/>
      <c r="K76" s="232" t="e">
        <f t="shared" si="0"/>
        <v>#VALUE!</v>
      </c>
    </row>
    <row r="77" spans="1:11" s="157" customFormat="1" ht="18" customHeight="1">
      <c r="A77" s="214">
        <v>60</v>
      </c>
      <c r="B77" s="163" t="s">
        <v>3326</v>
      </c>
      <c r="C77" s="205" t="s">
        <v>3327</v>
      </c>
      <c r="D77" s="190" t="s">
        <v>3328</v>
      </c>
      <c r="E77" s="203" t="s">
        <v>3150</v>
      </c>
      <c r="F77" s="218">
        <v>9</v>
      </c>
      <c r="G77" s="215">
        <v>9</v>
      </c>
      <c r="H77" s="156">
        <v>5</v>
      </c>
      <c r="I77" s="156"/>
      <c r="J77" s="156"/>
      <c r="K77" s="217">
        <f t="shared" si="0"/>
        <v>6.6</v>
      </c>
    </row>
    <row r="78" spans="1:12" s="231" customFormat="1" ht="18" customHeight="1">
      <c r="A78" s="224">
        <v>61</v>
      </c>
      <c r="B78" s="225" t="s">
        <v>3329</v>
      </c>
      <c r="C78" s="226" t="s">
        <v>3330</v>
      </c>
      <c r="D78" s="227" t="s">
        <v>3331</v>
      </c>
      <c r="E78" s="228" t="s">
        <v>3150</v>
      </c>
      <c r="F78" s="222">
        <v>9</v>
      </c>
      <c r="G78" s="223">
        <v>0</v>
      </c>
      <c r="H78" s="229">
        <v>0</v>
      </c>
      <c r="I78" s="229"/>
      <c r="J78" s="229"/>
      <c r="K78" s="230">
        <f t="shared" si="0"/>
        <v>0.9</v>
      </c>
      <c r="L78" s="231" t="s">
        <v>3349</v>
      </c>
    </row>
    <row r="79" spans="1:11" s="157" customFormat="1" ht="18" customHeight="1">
      <c r="A79" s="214">
        <v>62</v>
      </c>
      <c r="B79" s="163" t="s">
        <v>3332</v>
      </c>
      <c r="C79" s="205" t="s">
        <v>3333</v>
      </c>
      <c r="D79" s="190" t="s">
        <v>3334</v>
      </c>
      <c r="E79" s="203" t="s">
        <v>3150</v>
      </c>
      <c r="F79" s="218">
        <v>9</v>
      </c>
      <c r="G79" s="215">
        <v>9</v>
      </c>
      <c r="H79" s="156">
        <v>6</v>
      </c>
      <c r="I79" s="156"/>
      <c r="J79" s="156"/>
      <c r="K79" s="217">
        <f t="shared" si="0"/>
        <v>7.2</v>
      </c>
    </row>
    <row r="80" spans="1:11" s="157" customFormat="1" ht="18" customHeight="1">
      <c r="A80" s="214">
        <v>63</v>
      </c>
      <c r="B80" s="163">
        <v>14035208</v>
      </c>
      <c r="C80" s="205" t="s">
        <v>3335</v>
      </c>
      <c r="D80" s="206" t="s">
        <v>3336</v>
      </c>
      <c r="E80" s="203" t="s">
        <v>3337</v>
      </c>
      <c r="F80" s="218">
        <v>9</v>
      </c>
      <c r="G80" s="215">
        <v>7</v>
      </c>
      <c r="H80" s="156">
        <v>8</v>
      </c>
      <c r="I80" s="156"/>
      <c r="J80" s="156"/>
      <c r="K80" s="217">
        <f t="shared" si="0"/>
        <v>7.8</v>
      </c>
    </row>
    <row r="81" spans="1:11" s="157" customFormat="1" ht="18" customHeight="1">
      <c r="A81" s="214">
        <v>64</v>
      </c>
      <c r="B81" s="163">
        <v>14035199</v>
      </c>
      <c r="C81" s="205" t="s">
        <v>3338</v>
      </c>
      <c r="D81" s="206" t="s">
        <v>3339</v>
      </c>
      <c r="E81" s="203" t="s">
        <v>3337</v>
      </c>
      <c r="F81" s="218">
        <v>9</v>
      </c>
      <c r="G81" s="215">
        <v>7</v>
      </c>
      <c r="H81" s="156">
        <v>6</v>
      </c>
      <c r="I81" s="156"/>
      <c r="J81" s="156"/>
      <c r="K81" s="217">
        <f>ROUND(F81*$C$9+G81*$C$10+H81*$C$11+I81*$C$12+J81*$C$13,1)</f>
        <v>6.6</v>
      </c>
    </row>
    <row r="82" spans="1:11" s="157" customFormat="1" ht="18" customHeight="1">
      <c r="A82" s="214">
        <v>65</v>
      </c>
      <c r="B82" s="163">
        <v>14035061</v>
      </c>
      <c r="C82" s="205" t="s">
        <v>3343</v>
      </c>
      <c r="D82" s="206" t="s">
        <v>3344</v>
      </c>
      <c r="E82" s="203" t="s">
        <v>846</v>
      </c>
      <c r="F82" s="218">
        <v>9</v>
      </c>
      <c r="G82" s="215">
        <v>8</v>
      </c>
      <c r="H82" s="156">
        <v>7</v>
      </c>
      <c r="I82" s="156"/>
      <c r="J82" s="156"/>
      <c r="K82" s="217">
        <f>ROUND(F82*$C$9+G82*$C$10+H82*$C$11+I82*$C$12+J82*$C$13,1)</f>
        <v>7.5</v>
      </c>
    </row>
    <row r="83" spans="1:12" s="231" customFormat="1" ht="18" customHeight="1">
      <c r="A83" s="224">
        <v>66</v>
      </c>
      <c r="B83" s="225">
        <v>14035486</v>
      </c>
      <c r="C83" s="226" t="s">
        <v>3345</v>
      </c>
      <c r="D83" s="227"/>
      <c r="E83" s="228" t="s">
        <v>3150</v>
      </c>
      <c r="F83" s="222">
        <v>9</v>
      </c>
      <c r="G83" s="223">
        <v>8</v>
      </c>
      <c r="H83" s="229">
        <v>0</v>
      </c>
      <c r="I83" s="229"/>
      <c r="J83" s="229"/>
      <c r="K83" s="230">
        <f>ROUND(F83*$C$9+G83*$C$10+H83*$C$11+I83*$C$12+J83*$C$13,1)</f>
        <v>3.3</v>
      </c>
      <c r="L83" s="231" t="s">
        <v>3348</v>
      </c>
    </row>
    <row r="84" spans="1:11" s="157" customFormat="1" ht="10.5" customHeight="1">
      <c r="A84" s="207"/>
      <c r="B84" s="208"/>
      <c r="C84" s="209"/>
      <c r="D84" s="210"/>
      <c r="E84" s="211"/>
      <c r="F84" s="212"/>
      <c r="G84" s="212"/>
      <c r="H84" s="212"/>
      <c r="I84" s="212"/>
      <c r="J84" s="212"/>
      <c r="K84" s="213"/>
    </row>
    <row r="85" spans="1:11" ht="16.5" customHeight="1">
      <c r="A85" s="188"/>
      <c r="B85" s="188"/>
      <c r="C85" s="188"/>
      <c r="D85" s="157"/>
      <c r="E85" s="188"/>
      <c r="F85" s="307" t="s">
        <v>3353</v>
      </c>
      <c r="G85" s="307"/>
      <c r="H85" s="307"/>
      <c r="I85" s="307"/>
      <c r="J85" s="307"/>
      <c r="K85" s="307"/>
    </row>
    <row r="86" spans="1:11" ht="16.5" customHeight="1">
      <c r="A86" s="188"/>
      <c r="B86" s="188"/>
      <c r="C86" s="188"/>
      <c r="D86" s="157"/>
      <c r="E86" s="188"/>
      <c r="F86" s="308" t="s">
        <v>3354</v>
      </c>
      <c r="G86" s="308"/>
      <c r="H86" s="308"/>
      <c r="I86" s="308"/>
      <c r="J86" s="308"/>
      <c r="K86" s="308"/>
    </row>
    <row r="87" spans="1:11" ht="16.5" customHeight="1">
      <c r="A87" s="188"/>
      <c r="B87" s="188"/>
      <c r="C87" s="188"/>
      <c r="D87" s="157"/>
      <c r="E87" s="188"/>
      <c r="F87" s="308" t="s">
        <v>3355</v>
      </c>
      <c r="G87" s="308"/>
      <c r="H87" s="308"/>
      <c r="I87" s="308"/>
      <c r="J87" s="308"/>
      <c r="K87" s="308"/>
    </row>
    <row r="88" spans="1:11" ht="16.5" customHeight="1">
      <c r="A88" s="188"/>
      <c r="B88" s="188"/>
      <c r="C88" s="188"/>
      <c r="D88" s="157"/>
      <c r="E88" s="188"/>
      <c r="F88" s="308" t="s">
        <v>3356</v>
      </c>
      <c r="G88" s="308"/>
      <c r="H88" s="308"/>
      <c r="I88" s="308"/>
      <c r="J88" s="308"/>
      <c r="K88" s="308"/>
    </row>
    <row r="93" spans="6:11" ht="15" customHeight="1">
      <c r="F93" s="308" t="s">
        <v>3357</v>
      </c>
      <c r="G93" s="308"/>
      <c r="H93" s="308"/>
      <c r="I93" s="308"/>
      <c r="J93" s="308"/>
      <c r="K93" s="308"/>
    </row>
  </sheetData>
  <sheetProtection/>
  <protectedRanges>
    <protectedRange sqref="D72:D75" name="Range1_1_1"/>
  </protectedRanges>
  <mergeCells count="15">
    <mergeCell ref="E1:J1"/>
    <mergeCell ref="E2:J2"/>
    <mergeCell ref="A1:D1"/>
    <mergeCell ref="A2:D2"/>
    <mergeCell ref="H7:K7"/>
    <mergeCell ref="A3:D3"/>
    <mergeCell ref="A5:K5"/>
    <mergeCell ref="D7:E7"/>
    <mergeCell ref="F85:K85"/>
    <mergeCell ref="F86:K86"/>
    <mergeCell ref="F87:K87"/>
    <mergeCell ref="F88:K88"/>
    <mergeCell ref="F93:K93"/>
    <mergeCell ref="F11:H11"/>
    <mergeCell ref="F14:K14"/>
  </mergeCells>
  <dataValidations count="1">
    <dataValidation type="textLength" allowBlank="1" showInputMessage="1" showErrorMessage="1" prompt="Không chỉnh sửa dữ liệu!" sqref="A1:IV65536">
      <formula1>1111</formula1>
      <formula2>11111</formula2>
    </dataValidation>
  </dataValidations>
  <printOptions horizontalCentered="1"/>
  <pageMargins left="0.24" right="0.17" top="0.2" bottom="0.19" header="0.24" footer="0.26"/>
  <pageSetup horizontalDpi="600" verticalDpi="6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9"/>
  <sheetViews>
    <sheetView zoomScalePageLayoutView="0" workbookViewId="0" topLeftCell="A24">
      <selection activeCell="A24" sqref="A1:IV16384"/>
    </sheetView>
  </sheetViews>
  <sheetFormatPr defaultColWidth="8.796875" defaultRowHeight="19.5" customHeight="1"/>
  <cols>
    <col min="1" max="2" width="9" style="172" customWidth="1"/>
    <col min="3" max="3" width="24.19921875" style="172" customWidth="1"/>
    <col min="4" max="6" width="9" style="172" customWidth="1"/>
    <col min="7" max="7" width="8.8984375" style="172" bestFit="1" customWidth="1"/>
    <col min="8" max="8" width="24.69921875" style="172" bestFit="1" customWidth="1"/>
    <col min="9" max="9" width="25.3984375" style="172" bestFit="1" customWidth="1"/>
    <col min="10" max="16384" width="9" style="172" customWidth="1"/>
  </cols>
  <sheetData>
    <row r="1" spans="1:10" s="166" customFormat="1" ht="19.5" customHeight="1">
      <c r="A1" s="164" t="s">
        <v>1523</v>
      </c>
      <c r="B1" s="165" t="s">
        <v>1524</v>
      </c>
      <c r="C1" s="165" t="s">
        <v>1525</v>
      </c>
      <c r="D1" s="165" t="s">
        <v>9</v>
      </c>
      <c r="E1" s="165" t="s">
        <v>1526</v>
      </c>
      <c r="F1" s="165" t="s">
        <v>1527</v>
      </c>
      <c r="G1" s="165" t="s">
        <v>1528</v>
      </c>
      <c r="H1" s="165" t="s">
        <v>1529</v>
      </c>
      <c r="I1" s="165" t="s">
        <v>1530</v>
      </c>
      <c r="J1" s="165" t="s">
        <v>1531</v>
      </c>
    </row>
    <row r="2" spans="1:10" ht="19.5" customHeight="1">
      <c r="A2" s="167" t="s">
        <v>1532</v>
      </c>
      <c r="B2" s="168" t="str">
        <f>RIGHT("a12035257",LEN("a12035257")-1)</f>
        <v>12035257</v>
      </c>
      <c r="C2" s="169" t="s">
        <v>1413</v>
      </c>
      <c r="D2" s="170">
        <v>31006</v>
      </c>
      <c r="E2" s="169" t="s">
        <v>1533</v>
      </c>
      <c r="F2" s="168">
        <f aca="true" t="shared" si="0" ref="F2:F65">RIGHT("a",LEN("a")-1)</f>
      </c>
      <c r="G2" s="169" t="s">
        <v>1534</v>
      </c>
      <c r="H2" s="169" t="s">
        <v>1535</v>
      </c>
      <c r="I2" s="169" t="s">
        <v>1536</v>
      </c>
      <c r="J2" s="171"/>
    </row>
    <row r="3" spans="1:10" ht="19.5" customHeight="1">
      <c r="A3" s="167" t="s">
        <v>1537</v>
      </c>
      <c r="B3" s="168" t="str">
        <f>RIGHT("a12035267",LEN("a12035267")-1)</f>
        <v>12035267</v>
      </c>
      <c r="C3" s="169" t="s">
        <v>1415</v>
      </c>
      <c r="D3" s="170">
        <v>30598</v>
      </c>
      <c r="E3" s="169" t="s">
        <v>1533</v>
      </c>
      <c r="F3" s="168">
        <f t="shared" si="0"/>
      </c>
      <c r="G3" s="169" t="s">
        <v>1534</v>
      </c>
      <c r="H3" s="169" t="s">
        <v>1535</v>
      </c>
      <c r="I3" s="169" t="s">
        <v>1536</v>
      </c>
      <c r="J3" s="171"/>
    </row>
    <row r="4" spans="1:10" ht="19.5" customHeight="1">
      <c r="A4" s="167" t="s">
        <v>1538</v>
      </c>
      <c r="B4" s="168" t="str">
        <f>RIGHT("a12035260",LEN("a12035260")-1)</f>
        <v>12035260</v>
      </c>
      <c r="C4" s="169" t="s">
        <v>1414</v>
      </c>
      <c r="D4" s="170">
        <v>32731</v>
      </c>
      <c r="E4" s="169" t="s">
        <v>1533</v>
      </c>
      <c r="F4" s="168">
        <f t="shared" si="0"/>
      </c>
      <c r="G4" s="169" t="s">
        <v>1534</v>
      </c>
      <c r="H4" s="169" t="s">
        <v>1535</v>
      </c>
      <c r="I4" s="169" t="s">
        <v>1536</v>
      </c>
      <c r="J4" s="171"/>
    </row>
    <row r="5" spans="1:10" ht="19.5" customHeight="1">
      <c r="A5" s="167" t="s">
        <v>1539</v>
      </c>
      <c r="B5" s="168" t="str">
        <f>RIGHT("a12035254",LEN("a12035254")-1)</f>
        <v>12035254</v>
      </c>
      <c r="C5" s="169" t="s">
        <v>1418</v>
      </c>
      <c r="D5" s="170">
        <v>32917</v>
      </c>
      <c r="E5" s="169" t="s">
        <v>1533</v>
      </c>
      <c r="F5" s="168">
        <f t="shared" si="0"/>
      </c>
      <c r="G5" s="169" t="s">
        <v>1534</v>
      </c>
      <c r="H5" s="169" t="s">
        <v>1535</v>
      </c>
      <c r="I5" s="169" t="s">
        <v>1536</v>
      </c>
      <c r="J5" s="171"/>
    </row>
    <row r="6" spans="1:10" ht="19.5" customHeight="1">
      <c r="A6" s="167" t="s">
        <v>1540</v>
      </c>
      <c r="B6" s="168" t="str">
        <f>RIGHT("a12035001",LEN("a12035001")-1)</f>
        <v>12035001</v>
      </c>
      <c r="C6" s="169" t="s">
        <v>1541</v>
      </c>
      <c r="D6" s="170">
        <v>31849</v>
      </c>
      <c r="E6" s="169" t="s">
        <v>1533</v>
      </c>
      <c r="F6" s="168">
        <f t="shared" si="0"/>
      </c>
      <c r="G6" s="169" t="s">
        <v>1534</v>
      </c>
      <c r="H6" s="169" t="s">
        <v>1535</v>
      </c>
      <c r="I6" s="169" t="s">
        <v>1536</v>
      </c>
      <c r="J6" s="171"/>
    </row>
    <row r="7" spans="1:10" ht="19.5" customHeight="1">
      <c r="A7" s="167" t="s">
        <v>1542</v>
      </c>
      <c r="B7" s="168" t="str">
        <f>RIGHT("a12035244",LEN("a12035244")-1)</f>
        <v>12035244</v>
      </c>
      <c r="C7" s="169" t="s">
        <v>1417</v>
      </c>
      <c r="D7" s="170">
        <v>27989</v>
      </c>
      <c r="E7" s="169" t="s">
        <v>1533</v>
      </c>
      <c r="F7" s="168">
        <f t="shared" si="0"/>
      </c>
      <c r="G7" s="169" t="s">
        <v>1534</v>
      </c>
      <c r="H7" s="169" t="s">
        <v>1535</v>
      </c>
      <c r="I7" s="169" t="s">
        <v>1536</v>
      </c>
      <c r="J7" s="171"/>
    </row>
    <row r="8" spans="1:10" ht="19.5" customHeight="1">
      <c r="A8" s="167" t="s">
        <v>1543</v>
      </c>
      <c r="B8" s="168" t="str">
        <f>RIGHT("a12035003",LEN("a12035003")-1)</f>
        <v>12035003</v>
      </c>
      <c r="C8" s="169" t="s">
        <v>1544</v>
      </c>
      <c r="D8" s="170">
        <v>31146</v>
      </c>
      <c r="E8" s="169" t="s">
        <v>1533</v>
      </c>
      <c r="F8" s="168">
        <f t="shared" si="0"/>
      </c>
      <c r="G8" s="169" t="s">
        <v>1534</v>
      </c>
      <c r="H8" s="169" t="s">
        <v>1535</v>
      </c>
      <c r="I8" s="169" t="s">
        <v>1536</v>
      </c>
      <c r="J8" s="171"/>
    </row>
    <row r="9" spans="1:10" ht="19.5" customHeight="1">
      <c r="A9" s="167" t="s">
        <v>1545</v>
      </c>
      <c r="B9" s="168" t="str">
        <f>RIGHT("a12035002",LEN("a12035002")-1)</f>
        <v>12035002</v>
      </c>
      <c r="C9" s="169" t="s">
        <v>1546</v>
      </c>
      <c r="D9" s="170">
        <v>29880</v>
      </c>
      <c r="E9" s="169" t="s">
        <v>1533</v>
      </c>
      <c r="F9" s="168">
        <f t="shared" si="0"/>
      </c>
      <c r="G9" s="169" t="s">
        <v>1534</v>
      </c>
      <c r="H9" s="169" t="s">
        <v>1535</v>
      </c>
      <c r="I9" s="169" t="s">
        <v>1536</v>
      </c>
      <c r="J9" s="171"/>
    </row>
    <row r="10" spans="1:10" ht="19.5" customHeight="1">
      <c r="A10" s="167" t="s">
        <v>1547</v>
      </c>
      <c r="B10" s="168" t="str">
        <f>RIGHT("a12035261",LEN("a12035261")-1)</f>
        <v>12035261</v>
      </c>
      <c r="C10" s="169" t="s">
        <v>1419</v>
      </c>
      <c r="D10" s="170">
        <v>33128</v>
      </c>
      <c r="E10" s="169" t="s">
        <v>1533</v>
      </c>
      <c r="F10" s="168">
        <f t="shared" si="0"/>
      </c>
      <c r="G10" s="169" t="s">
        <v>1534</v>
      </c>
      <c r="H10" s="169" t="s">
        <v>1535</v>
      </c>
      <c r="I10" s="169" t="s">
        <v>1536</v>
      </c>
      <c r="J10" s="171"/>
    </row>
    <row r="11" spans="1:10" ht="19.5" customHeight="1">
      <c r="A11" s="167" t="s">
        <v>1548</v>
      </c>
      <c r="B11" s="168" t="str">
        <f>RIGHT("a12035004",LEN("a12035004")-1)</f>
        <v>12035004</v>
      </c>
      <c r="C11" s="169" t="s">
        <v>1549</v>
      </c>
      <c r="D11" s="170">
        <v>29092</v>
      </c>
      <c r="E11" s="169" t="s">
        <v>1533</v>
      </c>
      <c r="F11" s="168">
        <f t="shared" si="0"/>
      </c>
      <c r="G11" s="169" t="s">
        <v>1534</v>
      </c>
      <c r="H11" s="169" t="s">
        <v>1535</v>
      </c>
      <c r="I11" s="169" t="s">
        <v>1536</v>
      </c>
      <c r="J11" s="171"/>
    </row>
    <row r="12" spans="1:10" ht="19.5" customHeight="1">
      <c r="A12" s="167" t="s">
        <v>1550</v>
      </c>
      <c r="B12" s="168" t="str">
        <f>RIGHT("a12035005",LEN("a12035005")-1)</f>
        <v>12035005</v>
      </c>
      <c r="C12" s="169" t="s">
        <v>1486</v>
      </c>
      <c r="D12" s="170">
        <v>32851</v>
      </c>
      <c r="E12" s="169" t="s">
        <v>1533</v>
      </c>
      <c r="F12" s="168">
        <f t="shared" si="0"/>
      </c>
      <c r="G12" s="169" t="s">
        <v>1534</v>
      </c>
      <c r="H12" s="169" t="s">
        <v>1535</v>
      </c>
      <c r="I12" s="169" t="s">
        <v>1536</v>
      </c>
      <c r="J12" s="171"/>
    </row>
    <row r="13" spans="1:10" ht="19.5" customHeight="1">
      <c r="A13" s="167" t="s">
        <v>1551</v>
      </c>
      <c r="B13" s="168" t="str">
        <f>RIGHT("a12035006",LEN("a12035006")-1)</f>
        <v>12035006</v>
      </c>
      <c r="C13" s="169" t="s">
        <v>1552</v>
      </c>
      <c r="D13" s="170">
        <v>28079</v>
      </c>
      <c r="E13" s="169" t="s">
        <v>1533</v>
      </c>
      <c r="F13" s="168">
        <f t="shared" si="0"/>
      </c>
      <c r="G13" s="169" t="s">
        <v>1534</v>
      </c>
      <c r="H13" s="169" t="s">
        <v>1535</v>
      </c>
      <c r="I13" s="169" t="s">
        <v>1536</v>
      </c>
      <c r="J13" s="171"/>
    </row>
    <row r="14" spans="1:10" ht="19.5" customHeight="1">
      <c r="A14" s="167" t="s">
        <v>1553</v>
      </c>
      <c r="B14" s="168" t="str">
        <f>RIGHT("a12035248",LEN("a12035248")-1)</f>
        <v>12035248</v>
      </c>
      <c r="C14" s="169" t="s">
        <v>1422</v>
      </c>
      <c r="D14" s="170">
        <v>32811</v>
      </c>
      <c r="E14" s="169" t="s">
        <v>1533</v>
      </c>
      <c r="F14" s="168">
        <f t="shared" si="0"/>
      </c>
      <c r="G14" s="169" t="s">
        <v>1534</v>
      </c>
      <c r="H14" s="169" t="s">
        <v>1535</v>
      </c>
      <c r="I14" s="169" t="s">
        <v>1536</v>
      </c>
      <c r="J14" s="171"/>
    </row>
    <row r="15" spans="1:10" ht="19.5" customHeight="1">
      <c r="A15" s="167" t="s">
        <v>1554</v>
      </c>
      <c r="B15" s="168" t="str">
        <f>RIGHT("a12035246",LEN("a12035246")-1)</f>
        <v>12035246</v>
      </c>
      <c r="C15" s="169" t="s">
        <v>1420</v>
      </c>
      <c r="D15" s="170">
        <v>32219</v>
      </c>
      <c r="E15" s="169" t="s">
        <v>95</v>
      </c>
      <c r="F15" s="168">
        <f t="shared" si="0"/>
      </c>
      <c r="G15" s="169" t="s">
        <v>1534</v>
      </c>
      <c r="H15" s="169" t="s">
        <v>1535</v>
      </c>
      <c r="I15" s="169" t="s">
        <v>1536</v>
      </c>
      <c r="J15" s="171"/>
    </row>
    <row r="16" spans="1:10" ht="19.5" customHeight="1">
      <c r="A16" s="167" t="s">
        <v>1555</v>
      </c>
      <c r="B16" s="168" t="str">
        <f>RIGHT("a12035247",LEN("a12035247")-1)</f>
        <v>12035247</v>
      </c>
      <c r="C16" s="169" t="s">
        <v>1421</v>
      </c>
      <c r="D16" s="170">
        <v>32365</v>
      </c>
      <c r="E16" s="169" t="s">
        <v>1533</v>
      </c>
      <c r="F16" s="168">
        <f t="shared" si="0"/>
      </c>
      <c r="G16" s="169" t="s">
        <v>1534</v>
      </c>
      <c r="H16" s="169" t="s">
        <v>1535</v>
      </c>
      <c r="I16" s="169" t="s">
        <v>1536</v>
      </c>
      <c r="J16" s="171"/>
    </row>
    <row r="17" spans="1:10" ht="19.5" customHeight="1">
      <c r="A17" s="167" t="s">
        <v>1556</v>
      </c>
      <c r="B17" s="168" t="str">
        <f>RIGHT("a12035239",LEN("a12035239")-1)</f>
        <v>12035239</v>
      </c>
      <c r="C17" s="169" t="s">
        <v>1423</v>
      </c>
      <c r="D17" s="170">
        <v>32248</v>
      </c>
      <c r="E17" s="169" t="s">
        <v>1533</v>
      </c>
      <c r="F17" s="168">
        <f t="shared" si="0"/>
      </c>
      <c r="G17" s="169" t="s">
        <v>1534</v>
      </c>
      <c r="H17" s="169" t="s">
        <v>1535</v>
      </c>
      <c r="I17" s="169" t="s">
        <v>1536</v>
      </c>
      <c r="J17" s="171"/>
    </row>
    <row r="18" spans="1:10" ht="19.5" customHeight="1">
      <c r="A18" s="167" t="s">
        <v>1557</v>
      </c>
      <c r="B18" s="168" t="str">
        <f>RIGHT("a12035007",LEN("a12035007")-1)</f>
        <v>12035007</v>
      </c>
      <c r="C18" s="169" t="s">
        <v>1424</v>
      </c>
      <c r="D18" s="170">
        <v>29932</v>
      </c>
      <c r="E18" s="169" t="s">
        <v>95</v>
      </c>
      <c r="F18" s="168">
        <f t="shared" si="0"/>
      </c>
      <c r="G18" s="169" t="s">
        <v>1534</v>
      </c>
      <c r="H18" s="169" t="s">
        <v>1535</v>
      </c>
      <c r="I18" s="169" t="s">
        <v>1536</v>
      </c>
      <c r="J18" s="171"/>
    </row>
    <row r="19" spans="1:10" ht="19.5" customHeight="1">
      <c r="A19" s="167" t="s">
        <v>1558</v>
      </c>
      <c r="B19" s="168" t="str">
        <f>RIGHT("a12035008",LEN("a12035008")-1)</f>
        <v>12035008</v>
      </c>
      <c r="C19" s="169" t="s">
        <v>236</v>
      </c>
      <c r="D19" s="170">
        <v>32765</v>
      </c>
      <c r="E19" s="169" t="s">
        <v>1533</v>
      </c>
      <c r="F19" s="168">
        <f t="shared" si="0"/>
      </c>
      <c r="G19" s="169" t="s">
        <v>1534</v>
      </c>
      <c r="H19" s="169" t="s">
        <v>1535</v>
      </c>
      <c r="I19" s="169" t="s">
        <v>1536</v>
      </c>
      <c r="J19" s="171"/>
    </row>
    <row r="20" spans="1:10" ht="19.5" customHeight="1">
      <c r="A20" s="167" t="s">
        <v>1559</v>
      </c>
      <c r="B20" s="168" t="str">
        <f>RIGHT("a12035009",LEN("a12035009")-1)</f>
        <v>12035009</v>
      </c>
      <c r="C20" s="169" t="s">
        <v>1522</v>
      </c>
      <c r="D20" s="170">
        <v>31201</v>
      </c>
      <c r="E20" s="169" t="s">
        <v>95</v>
      </c>
      <c r="F20" s="168">
        <f t="shared" si="0"/>
      </c>
      <c r="G20" s="169" t="s">
        <v>1534</v>
      </c>
      <c r="H20" s="169" t="s">
        <v>1535</v>
      </c>
      <c r="I20" s="169" t="s">
        <v>1536</v>
      </c>
      <c r="J20" s="171"/>
    </row>
    <row r="21" spans="1:10" ht="19.5" customHeight="1">
      <c r="A21" s="167" t="s">
        <v>1560</v>
      </c>
      <c r="B21" s="168" t="str">
        <f>RIGHT("a12035263",LEN("a12035263")-1)</f>
        <v>12035263</v>
      </c>
      <c r="C21" s="169" t="s">
        <v>1561</v>
      </c>
      <c r="D21" s="170">
        <v>31827</v>
      </c>
      <c r="E21" s="169" t="s">
        <v>1533</v>
      </c>
      <c r="F21" s="168">
        <f t="shared" si="0"/>
      </c>
      <c r="G21" s="169" t="s">
        <v>1534</v>
      </c>
      <c r="H21" s="169" t="s">
        <v>1535</v>
      </c>
      <c r="I21" s="169" t="s">
        <v>1536</v>
      </c>
      <c r="J21" s="171"/>
    </row>
    <row r="22" spans="1:10" ht="19.5" customHeight="1">
      <c r="A22" s="167" t="s">
        <v>1562</v>
      </c>
      <c r="B22" s="168" t="str">
        <f>RIGHT("a12035268",LEN("a12035268")-1)</f>
        <v>12035268</v>
      </c>
      <c r="C22" s="169" t="s">
        <v>1563</v>
      </c>
      <c r="D22" s="170">
        <v>31413</v>
      </c>
      <c r="E22" s="169" t="s">
        <v>95</v>
      </c>
      <c r="F22" s="168">
        <f t="shared" si="0"/>
      </c>
      <c r="G22" s="169" t="s">
        <v>1534</v>
      </c>
      <c r="H22" s="169" t="s">
        <v>1535</v>
      </c>
      <c r="I22" s="169" t="s">
        <v>1536</v>
      </c>
      <c r="J22" s="171"/>
    </row>
    <row r="23" spans="1:10" ht="19.5" customHeight="1">
      <c r="A23" s="167" t="s">
        <v>1564</v>
      </c>
      <c r="B23" s="168" t="str">
        <f>RIGHT("a12035011",LEN("a12035011")-1)</f>
        <v>12035011</v>
      </c>
      <c r="C23" s="169" t="s">
        <v>1565</v>
      </c>
      <c r="D23" s="170">
        <v>29831</v>
      </c>
      <c r="E23" s="169" t="s">
        <v>95</v>
      </c>
      <c r="F23" s="168">
        <f t="shared" si="0"/>
      </c>
      <c r="G23" s="169" t="s">
        <v>1534</v>
      </c>
      <c r="H23" s="169" t="s">
        <v>1535</v>
      </c>
      <c r="I23" s="169" t="s">
        <v>1536</v>
      </c>
      <c r="J23" s="171"/>
    </row>
    <row r="24" spans="1:10" ht="19.5" customHeight="1">
      <c r="A24" s="167" t="s">
        <v>1566</v>
      </c>
      <c r="B24" s="168" t="str">
        <f>RIGHT("a12035010",LEN("a12035010")-1)</f>
        <v>12035010</v>
      </c>
      <c r="C24" s="169" t="s">
        <v>1425</v>
      </c>
      <c r="D24" s="170">
        <v>31366</v>
      </c>
      <c r="E24" s="169" t="s">
        <v>95</v>
      </c>
      <c r="F24" s="168">
        <f t="shared" si="0"/>
      </c>
      <c r="G24" s="169" t="s">
        <v>1534</v>
      </c>
      <c r="H24" s="169" t="s">
        <v>1535</v>
      </c>
      <c r="I24" s="169" t="s">
        <v>1536</v>
      </c>
      <c r="J24" s="171"/>
    </row>
    <row r="25" spans="1:10" ht="19.5" customHeight="1">
      <c r="A25" s="167" t="s">
        <v>1567</v>
      </c>
      <c r="B25" s="168" t="str">
        <f>RIGHT("a12035249",LEN("a12035249")-1)</f>
        <v>12035249</v>
      </c>
      <c r="C25" s="169" t="s">
        <v>1426</v>
      </c>
      <c r="D25" s="170">
        <v>32087</v>
      </c>
      <c r="E25" s="169" t="s">
        <v>1533</v>
      </c>
      <c r="F25" s="168">
        <f t="shared" si="0"/>
      </c>
      <c r="G25" s="169" t="s">
        <v>1534</v>
      </c>
      <c r="H25" s="169" t="s">
        <v>1535</v>
      </c>
      <c r="I25" s="169" t="s">
        <v>1536</v>
      </c>
      <c r="J25" s="171"/>
    </row>
    <row r="26" spans="1:10" ht="19.5" customHeight="1">
      <c r="A26" s="167" t="s">
        <v>1568</v>
      </c>
      <c r="B26" s="168" t="str">
        <f>RIGHT("a12035255",LEN("a12035255")-1)</f>
        <v>12035255</v>
      </c>
      <c r="C26" s="169" t="s">
        <v>1427</v>
      </c>
      <c r="D26" s="170">
        <v>28085</v>
      </c>
      <c r="E26" s="169" t="s">
        <v>95</v>
      </c>
      <c r="F26" s="168">
        <f t="shared" si="0"/>
      </c>
      <c r="G26" s="169" t="s">
        <v>1534</v>
      </c>
      <c r="H26" s="169" t="s">
        <v>1535</v>
      </c>
      <c r="I26" s="169" t="s">
        <v>1536</v>
      </c>
      <c r="J26" s="171"/>
    </row>
    <row r="27" spans="1:10" ht="19.5" customHeight="1">
      <c r="A27" s="167" t="s">
        <v>1569</v>
      </c>
      <c r="B27" s="168" t="str">
        <f>RIGHT("a12035264",LEN("a12035264")-1)</f>
        <v>12035264</v>
      </c>
      <c r="C27" s="169" t="s">
        <v>1428</v>
      </c>
      <c r="D27" s="170">
        <v>30620</v>
      </c>
      <c r="E27" s="169" t="s">
        <v>1533</v>
      </c>
      <c r="F27" s="168">
        <f t="shared" si="0"/>
      </c>
      <c r="G27" s="169" t="s">
        <v>1534</v>
      </c>
      <c r="H27" s="169" t="s">
        <v>1535</v>
      </c>
      <c r="I27" s="169" t="s">
        <v>1536</v>
      </c>
      <c r="J27" s="171"/>
    </row>
    <row r="28" spans="1:10" ht="19.5" customHeight="1">
      <c r="A28" s="167" t="s">
        <v>1570</v>
      </c>
      <c r="B28" s="168" t="str">
        <f>RIGHT("a12035240",LEN("a12035240")-1)</f>
        <v>12035240</v>
      </c>
      <c r="C28" s="169" t="s">
        <v>1429</v>
      </c>
      <c r="D28" s="170">
        <v>32952</v>
      </c>
      <c r="E28" s="169" t="s">
        <v>1533</v>
      </c>
      <c r="F28" s="168">
        <f t="shared" si="0"/>
      </c>
      <c r="G28" s="169" t="s">
        <v>1534</v>
      </c>
      <c r="H28" s="169" t="s">
        <v>1535</v>
      </c>
      <c r="I28" s="169" t="s">
        <v>1536</v>
      </c>
      <c r="J28" s="171"/>
    </row>
    <row r="29" spans="1:10" ht="19.5" customHeight="1">
      <c r="A29" s="167" t="s">
        <v>1571</v>
      </c>
      <c r="B29" s="168" t="str">
        <f>RIGHT("a12035012",LEN("a12035012")-1)</f>
        <v>12035012</v>
      </c>
      <c r="C29" s="169" t="s">
        <v>1572</v>
      </c>
      <c r="D29" s="170">
        <v>30653</v>
      </c>
      <c r="E29" s="169" t="s">
        <v>1533</v>
      </c>
      <c r="F29" s="168">
        <f t="shared" si="0"/>
      </c>
      <c r="G29" s="169" t="s">
        <v>1534</v>
      </c>
      <c r="H29" s="169" t="s">
        <v>1535</v>
      </c>
      <c r="I29" s="169" t="s">
        <v>1536</v>
      </c>
      <c r="J29" s="171"/>
    </row>
    <row r="30" spans="1:10" ht="19.5" customHeight="1">
      <c r="A30" s="167" t="s">
        <v>1573</v>
      </c>
      <c r="B30" s="168" t="str">
        <f>RIGHT("a12035269",LEN("a12035269")-1)</f>
        <v>12035269</v>
      </c>
      <c r="C30" s="169" t="s">
        <v>1430</v>
      </c>
      <c r="D30" s="170">
        <v>31726</v>
      </c>
      <c r="E30" s="169" t="s">
        <v>1533</v>
      </c>
      <c r="F30" s="168">
        <f t="shared" si="0"/>
      </c>
      <c r="G30" s="169" t="s">
        <v>1534</v>
      </c>
      <c r="H30" s="169" t="s">
        <v>1535</v>
      </c>
      <c r="I30" s="169" t="s">
        <v>1536</v>
      </c>
      <c r="J30" s="171"/>
    </row>
    <row r="31" spans="1:10" ht="19.5" customHeight="1">
      <c r="A31" s="167" t="s">
        <v>1574</v>
      </c>
      <c r="B31" s="168" t="str">
        <f>RIGHT("a12035241",LEN("a12035241")-1)</f>
        <v>12035241</v>
      </c>
      <c r="C31" s="169" t="s">
        <v>1431</v>
      </c>
      <c r="D31" s="170">
        <v>32504</v>
      </c>
      <c r="E31" s="169" t="s">
        <v>1533</v>
      </c>
      <c r="F31" s="168">
        <f t="shared" si="0"/>
      </c>
      <c r="G31" s="169" t="s">
        <v>1534</v>
      </c>
      <c r="H31" s="169" t="s">
        <v>1535</v>
      </c>
      <c r="I31" s="169" t="s">
        <v>1536</v>
      </c>
      <c r="J31" s="171"/>
    </row>
    <row r="32" spans="1:10" ht="19.5" customHeight="1">
      <c r="A32" s="167" t="s">
        <v>1575</v>
      </c>
      <c r="B32" s="168" t="str">
        <f>RIGHT("a12035265",LEN("a12035265")-1)</f>
        <v>12035265</v>
      </c>
      <c r="C32" s="169" t="s">
        <v>1433</v>
      </c>
      <c r="D32" s="170">
        <v>28536</v>
      </c>
      <c r="E32" s="169" t="s">
        <v>1533</v>
      </c>
      <c r="F32" s="168">
        <f t="shared" si="0"/>
      </c>
      <c r="G32" s="169" t="s">
        <v>1534</v>
      </c>
      <c r="H32" s="169" t="s">
        <v>1535</v>
      </c>
      <c r="I32" s="169" t="s">
        <v>1536</v>
      </c>
      <c r="J32" s="171"/>
    </row>
    <row r="33" spans="1:10" ht="19.5" customHeight="1">
      <c r="A33" s="167" t="s">
        <v>1576</v>
      </c>
      <c r="B33" s="168" t="str">
        <f>RIGHT("a12035258",LEN("a12035258")-1)</f>
        <v>12035258</v>
      </c>
      <c r="C33" s="169" t="s">
        <v>1432</v>
      </c>
      <c r="D33" s="170">
        <v>28254</v>
      </c>
      <c r="E33" s="169" t="s">
        <v>1533</v>
      </c>
      <c r="F33" s="168">
        <f t="shared" si="0"/>
      </c>
      <c r="G33" s="169" t="s">
        <v>1534</v>
      </c>
      <c r="H33" s="169" t="s">
        <v>1535</v>
      </c>
      <c r="I33" s="169" t="s">
        <v>1536</v>
      </c>
      <c r="J33" s="171"/>
    </row>
    <row r="34" spans="1:10" ht="19.5" customHeight="1">
      <c r="A34" s="167" t="s">
        <v>1577</v>
      </c>
      <c r="B34" s="168" t="str">
        <f>RIGHT("a12035013",LEN("a12035013")-1)</f>
        <v>12035013</v>
      </c>
      <c r="C34" s="169" t="s">
        <v>1578</v>
      </c>
      <c r="D34" s="170">
        <v>30681</v>
      </c>
      <c r="E34" s="169" t="s">
        <v>1533</v>
      </c>
      <c r="F34" s="168">
        <f t="shared" si="0"/>
      </c>
      <c r="G34" s="169" t="s">
        <v>1534</v>
      </c>
      <c r="H34" s="169" t="s">
        <v>1535</v>
      </c>
      <c r="I34" s="169" t="s">
        <v>1536</v>
      </c>
      <c r="J34" s="171"/>
    </row>
    <row r="35" spans="1:10" ht="19.5" customHeight="1">
      <c r="A35" s="167" t="s">
        <v>1579</v>
      </c>
      <c r="B35" s="168" t="str">
        <f>RIGHT("a12035262",LEN("a12035262")-1)</f>
        <v>12035262</v>
      </c>
      <c r="C35" s="169" t="s">
        <v>1434</v>
      </c>
      <c r="D35" s="170">
        <v>33209</v>
      </c>
      <c r="E35" s="169" t="s">
        <v>1533</v>
      </c>
      <c r="F35" s="168">
        <f t="shared" si="0"/>
      </c>
      <c r="G35" s="169" t="s">
        <v>1534</v>
      </c>
      <c r="H35" s="169" t="s">
        <v>1535</v>
      </c>
      <c r="I35" s="169" t="s">
        <v>1536</v>
      </c>
      <c r="J35" s="171"/>
    </row>
    <row r="36" spans="1:10" ht="19.5" customHeight="1">
      <c r="A36" s="167" t="s">
        <v>1580</v>
      </c>
      <c r="B36" s="168" t="str">
        <f>RIGHT("a12035253",LEN("a12035253")-1)</f>
        <v>12035253</v>
      </c>
      <c r="C36" s="169" t="s">
        <v>1435</v>
      </c>
      <c r="D36" s="170">
        <v>28975</v>
      </c>
      <c r="E36" s="169" t="s">
        <v>95</v>
      </c>
      <c r="F36" s="168">
        <f t="shared" si="0"/>
      </c>
      <c r="G36" s="169" t="s">
        <v>1534</v>
      </c>
      <c r="H36" s="169" t="s">
        <v>1535</v>
      </c>
      <c r="I36" s="169" t="s">
        <v>1536</v>
      </c>
      <c r="J36" s="171"/>
    </row>
    <row r="37" spans="1:10" ht="19.5" customHeight="1">
      <c r="A37" s="167" t="s">
        <v>1581</v>
      </c>
      <c r="B37" s="168" t="str">
        <f>RIGHT("a12035242",LEN("a12035242")-1)</f>
        <v>12035242</v>
      </c>
      <c r="C37" s="169" t="s">
        <v>1436</v>
      </c>
      <c r="D37" s="170">
        <v>28773</v>
      </c>
      <c r="E37" s="169" t="s">
        <v>95</v>
      </c>
      <c r="F37" s="168">
        <f t="shared" si="0"/>
      </c>
      <c r="G37" s="169" t="s">
        <v>1534</v>
      </c>
      <c r="H37" s="169" t="s">
        <v>1535</v>
      </c>
      <c r="I37" s="169" t="s">
        <v>1536</v>
      </c>
      <c r="J37" s="171"/>
    </row>
    <row r="38" spans="1:10" ht="19.5" customHeight="1">
      <c r="A38" s="167" t="s">
        <v>1582</v>
      </c>
      <c r="B38" s="168" t="str">
        <f>RIGHT("a12035266",LEN("a12035266")-1)</f>
        <v>12035266</v>
      </c>
      <c r="C38" s="169" t="s">
        <v>1438</v>
      </c>
      <c r="D38" s="170">
        <v>30714</v>
      </c>
      <c r="E38" s="169" t="s">
        <v>1533</v>
      </c>
      <c r="F38" s="168">
        <f t="shared" si="0"/>
      </c>
      <c r="G38" s="169" t="s">
        <v>1534</v>
      </c>
      <c r="H38" s="169" t="s">
        <v>1535</v>
      </c>
      <c r="I38" s="169" t="s">
        <v>1536</v>
      </c>
      <c r="J38" s="171"/>
    </row>
    <row r="39" spans="1:10" ht="19.5" customHeight="1">
      <c r="A39" s="167" t="s">
        <v>1583</v>
      </c>
      <c r="B39" s="168" t="str">
        <f>RIGHT("a12035250",LEN("a12035250")-1)</f>
        <v>12035250</v>
      </c>
      <c r="C39" s="169" t="s">
        <v>1437</v>
      </c>
      <c r="D39" s="170">
        <v>32467</v>
      </c>
      <c r="E39" s="169" t="s">
        <v>1533</v>
      </c>
      <c r="F39" s="168">
        <f t="shared" si="0"/>
      </c>
      <c r="G39" s="169" t="s">
        <v>1534</v>
      </c>
      <c r="H39" s="169" t="s">
        <v>1535</v>
      </c>
      <c r="I39" s="169" t="s">
        <v>1536</v>
      </c>
      <c r="J39" s="171"/>
    </row>
    <row r="40" spans="1:10" ht="19.5" customHeight="1">
      <c r="A40" s="167" t="s">
        <v>1584</v>
      </c>
      <c r="B40" s="168" t="str">
        <f>RIGHT("a12035245",LEN("a12035245")-1)</f>
        <v>12035245</v>
      </c>
      <c r="C40" s="169" t="s">
        <v>1439</v>
      </c>
      <c r="D40" s="170">
        <v>31308</v>
      </c>
      <c r="E40" s="169" t="s">
        <v>1533</v>
      </c>
      <c r="F40" s="168">
        <f t="shared" si="0"/>
      </c>
      <c r="G40" s="169" t="s">
        <v>1534</v>
      </c>
      <c r="H40" s="169" t="s">
        <v>1535</v>
      </c>
      <c r="I40" s="169" t="s">
        <v>1536</v>
      </c>
      <c r="J40" s="171"/>
    </row>
    <row r="41" spans="1:10" ht="19.5" customHeight="1">
      <c r="A41" s="167" t="s">
        <v>1585</v>
      </c>
      <c r="B41" s="168" t="str">
        <f>RIGHT("a12035256",LEN("a12035256")-1)</f>
        <v>12035256</v>
      </c>
      <c r="C41" s="169" t="s">
        <v>1440</v>
      </c>
      <c r="D41" s="170">
        <v>31616</v>
      </c>
      <c r="E41" s="169" t="s">
        <v>1533</v>
      </c>
      <c r="F41" s="168">
        <f t="shared" si="0"/>
      </c>
      <c r="G41" s="169" t="s">
        <v>1534</v>
      </c>
      <c r="H41" s="169" t="s">
        <v>1535</v>
      </c>
      <c r="I41" s="169" t="s">
        <v>1536</v>
      </c>
      <c r="J41" s="171"/>
    </row>
    <row r="42" spans="1:10" ht="19.5" customHeight="1">
      <c r="A42" s="167" t="s">
        <v>1586</v>
      </c>
      <c r="B42" s="168" t="str">
        <f>RIGHT("a12035251",LEN("a12035251")-1)</f>
        <v>12035251</v>
      </c>
      <c r="C42" s="169" t="s">
        <v>1441</v>
      </c>
      <c r="D42" s="170">
        <v>30855</v>
      </c>
      <c r="E42" s="169" t="s">
        <v>1533</v>
      </c>
      <c r="F42" s="168">
        <f t="shared" si="0"/>
      </c>
      <c r="G42" s="169" t="s">
        <v>1534</v>
      </c>
      <c r="H42" s="169" t="s">
        <v>1535</v>
      </c>
      <c r="I42" s="169" t="s">
        <v>1536</v>
      </c>
      <c r="J42" s="171"/>
    </row>
    <row r="43" spans="1:10" ht="19.5" customHeight="1">
      <c r="A43" s="167" t="s">
        <v>1587</v>
      </c>
      <c r="B43" s="168" t="str">
        <f>RIGHT("a12035252",LEN("a12035252")-1)</f>
        <v>12035252</v>
      </c>
      <c r="C43" s="169" t="s">
        <v>1442</v>
      </c>
      <c r="D43" s="170">
        <v>25044</v>
      </c>
      <c r="E43" s="169" t="s">
        <v>1533</v>
      </c>
      <c r="F43" s="168">
        <f t="shared" si="0"/>
      </c>
      <c r="G43" s="169" t="s">
        <v>1534</v>
      </c>
      <c r="H43" s="169" t="s">
        <v>1535</v>
      </c>
      <c r="I43" s="169" t="s">
        <v>1536</v>
      </c>
      <c r="J43" s="171"/>
    </row>
    <row r="44" spans="1:10" ht="19.5" customHeight="1">
      <c r="A44" s="167" t="s">
        <v>1588</v>
      </c>
      <c r="B44" s="168" t="str">
        <f>RIGHT("a12035014",LEN("a12035014")-1)</f>
        <v>12035014</v>
      </c>
      <c r="C44" s="169" t="s">
        <v>1589</v>
      </c>
      <c r="D44" s="170">
        <v>28137</v>
      </c>
      <c r="E44" s="169" t="s">
        <v>95</v>
      </c>
      <c r="F44" s="168">
        <f t="shared" si="0"/>
      </c>
      <c r="G44" s="169" t="s">
        <v>1534</v>
      </c>
      <c r="H44" s="169" t="s">
        <v>1535</v>
      </c>
      <c r="I44" s="169" t="s">
        <v>1536</v>
      </c>
      <c r="J44" s="171"/>
    </row>
    <row r="45" spans="1:10" ht="19.5" customHeight="1">
      <c r="A45" s="167" t="s">
        <v>1590</v>
      </c>
      <c r="B45" s="168" t="str">
        <f>RIGHT("a12035015",LEN("a12035015")-1)</f>
        <v>12035015</v>
      </c>
      <c r="C45" s="169" t="s">
        <v>1393</v>
      </c>
      <c r="D45" s="170">
        <v>32734</v>
      </c>
      <c r="E45" s="169" t="s">
        <v>1533</v>
      </c>
      <c r="F45" s="168">
        <f t="shared" si="0"/>
      </c>
      <c r="G45" s="169" t="s">
        <v>1534</v>
      </c>
      <c r="H45" s="169" t="s">
        <v>1535</v>
      </c>
      <c r="I45" s="169" t="s">
        <v>1536</v>
      </c>
      <c r="J45" s="171"/>
    </row>
    <row r="46" spans="1:10" ht="19.5" customHeight="1">
      <c r="A46" s="167" t="s">
        <v>1591</v>
      </c>
      <c r="B46" s="168" t="str">
        <f>RIGHT("a12035016",LEN("a12035016")-1)</f>
        <v>12035016</v>
      </c>
      <c r="C46" s="169" t="s">
        <v>1592</v>
      </c>
      <c r="D46" s="170">
        <v>29139</v>
      </c>
      <c r="E46" s="169" t="s">
        <v>95</v>
      </c>
      <c r="F46" s="168">
        <f t="shared" si="0"/>
      </c>
      <c r="G46" s="169" t="s">
        <v>1534</v>
      </c>
      <c r="H46" s="169" t="s">
        <v>1535</v>
      </c>
      <c r="I46" s="169" t="s">
        <v>1536</v>
      </c>
      <c r="J46" s="171"/>
    </row>
    <row r="47" spans="1:10" ht="19.5" customHeight="1">
      <c r="A47" s="167" t="s">
        <v>1593</v>
      </c>
      <c r="B47" s="168" t="str">
        <f>RIGHT("a12035017",LEN("a12035017")-1)</f>
        <v>12035017</v>
      </c>
      <c r="C47" s="169" t="s">
        <v>1416</v>
      </c>
      <c r="D47" s="170">
        <v>30691</v>
      </c>
      <c r="E47" s="169" t="s">
        <v>1533</v>
      </c>
      <c r="F47" s="168">
        <f t="shared" si="0"/>
      </c>
      <c r="G47" s="169" t="s">
        <v>1534</v>
      </c>
      <c r="H47" s="169" t="s">
        <v>1535</v>
      </c>
      <c r="I47" s="169" t="s">
        <v>1536</v>
      </c>
      <c r="J47" s="171"/>
    </row>
    <row r="48" spans="1:10" ht="19.5" customHeight="1">
      <c r="A48" s="167" t="s">
        <v>1594</v>
      </c>
      <c r="B48" s="168" t="str">
        <f>RIGHT("a12035018",LEN("a12035018")-1)</f>
        <v>12035018</v>
      </c>
      <c r="C48" s="169" t="s">
        <v>1595</v>
      </c>
      <c r="D48" s="170">
        <v>32011</v>
      </c>
      <c r="E48" s="169" t="s">
        <v>1533</v>
      </c>
      <c r="F48" s="168">
        <f t="shared" si="0"/>
      </c>
      <c r="G48" s="169" t="s">
        <v>1534</v>
      </c>
      <c r="H48" s="169" t="s">
        <v>1535</v>
      </c>
      <c r="I48" s="169" t="s">
        <v>1536</v>
      </c>
      <c r="J48" s="171"/>
    </row>
    <row r="49" spans="1:10" ht="19.5" customHeight="1">
      <c r="A49" s="167" t="s">
        <v>1596</v>
      </c>
      <c r="B49" s="168" t="str">
        <f>RIGHT("a12035243",LEN("a12035243")-1)</f>
        <v>12035243</v>
      </c>
      <c r="C49" s="169" t="s">
        <v>1443</v>
      </c>
      <c r="D49" s="170">
        <v>32287</v>
      </c>
      <c r="E49" s="169" t="s">
        <v>1533</v>
      </c>
      <c r="F49" s="168">
        <f t="shared" si="0"/>
      </c>
      <c r="G49" s="169" t="s">
        <v>1534</v>
      </c>
      <c r="H49" s="169" t="s">
        <v>1535</v>
      </c>
      <c r="I49" s="169" t="s">
        <v>1536</v>
      </c>
      <c r="J49" s="171"/>
    </row>
    <row r="50" spans="1:10" ht="19.5" customHeight="1">
      <c r="A50" s="167" t="s">
        <v>1597</v>
      </c>
      <c r="B50" s="168" t="str">
        <f>RIGHT("a12035259",LEN("a12035259")-1)</f>
        <v>12035259</v>
      </c>
      <c r="C50" s="169" t="s">
        <v>1444</v>
      </c>
      <c r="D50" s="170">
        <v>32214</v>
      </c>
      <c r="E50" s="169" t="s">
        <v>1533</v>
      </c>
      <c r="F50" s="168">
        <f t="shared" si="0"/>
      </c>
      <c r="G50" s="169" t="s">
        <v>1534</v>
      </c>
      <c r="H50" s="169" t="s">
        <v>1535</v>
      </c>
      <c r="I50" s="169" t="s">
        <v>1536</v>
      </c>
      <c r="J50" s="171"/>
    </row>
    <row r="51" spans="1:10" ht="19.5" customHeight="1">
      <c r="A51" s="167" t="s">
        <v>1598</v>
      </c>
      <c r="B51" s="168" t="str">
        <f>RIGHT("a12035750",LEN("a12035750")-1)</f>
        <v>12035750</v>
      </c>
      <c r="C51" s="169" t="s">
        <v>1599</v>
      </c>
      <c r="D51" s="170">
        <v>30103</v>
      </c>
      <c r="E51" s="169" t="s">
        <v>1533</v>
      </c>
      <c r="F51" s="168">
        <f t="shared" si="0"/>
      </c>
      <c r="G51" s="169" t="s">
        <v>1534</v>
      </c>
      <c r="H51" s="169" t="s">
        <v>1535</v>
      </c>
      <c r="I51" s="169" t="s">
        <v>1600</v>
      </c>
      <c r="J51" s="171"/>
    </row>
    <row r="52" spans="1:10" ht="19.5" customHeight="1">
      <c r="A52" s="167" t="s">
        <v>1601</v>
      </c>
      <c r="B52" s="168" t="str">
        <f>RIGHT("a12035749",LEN("a12035749")-1)</f>
        <v>12035749</v>
      </c>
      <c r="C52" s="169" t="s">
        <v>1602</v>
      </c>
      <c r="D52" s="170">
        <v>30317</v>
      </c>
      <c r="E52" s="169" t="s">
        <v>95</v>
      </c>
      <c r="F52" s="168">
        <f t="shared" si="0"/>
      </c>
      <c r="G52" s="169" t="s">
        <v>1534</v>
      </c>
      <c r="H52" s="169" t="s">
        <v>1535</v>
      </c>
      <c r="I52" s="169" t="s">
        <v>1600</v>
      </c>
      <c r="J52" s="171"/>
    </row>
    <row r="53" spans="1:10" ht="19.5" customHeight="1">
      <c r="A53" s="167" t="s">
        <v>1603</v>
      </c>
      <c r="B53" s="168" t="str">
        <f>RIGHT("a12035746",LEN("a12035746")-1)</f>
        <v>12035746</v>
      </c>
      <c r="C53" s="169" t="s">
        <v>1604</v>
      </c>
      <c r="D53" s="170">
        <v>32858</v>
      </c>
      <c r="E53" s="169" t="s">
        <v>95</v>
      </c>
      <c r="F53" s="168">
        <f t="shared" si="0"/>
      </c>
      <c r="G53" s="169" t="s">
        <v>1534</v>
      </c>
      <c r="H53" s="169" t="s">
        <v>1535</v>
      </c>
      <c r="I53" s="169" t="s">
        <v>1600</v>
      </c>
      <c r="J53" s="171"/>
    </row>
    <row r="54" spans="1:10" ht="19.5" customHeight="1">
      <c r="A54" s="167" t="s">
        <v>1605</v>
      </c>
      <c r="B54" s="168" t="str">
        <f>RIGHT("a12035747",LEN("a12035747")-1)</f>
        <v>12035747</v>
      </c>
      <c r="C54" s="169" t="s">
        <v>1606</v>
      </c>
      <c r="D54" s="170">
        <v>32713</v>
      </c>
      <c r="E54" s="169" t="s">
        <v>1533</v>
      </c>
      <c r="F54" s="168">
        <f t="shared" si="0"/>
      </c>
      <c r="G54" s="169" t="s">
        <v>1534</v>
      </c>
      <c r="H54" s="169" t="s">
        <v>1535</v>
      </c>
      <c r="I54" s="169" t="s">
        <v>1600</v>
      </c>
      <c r="J54" s="171"/>
    </row>
    <row r="55" spans="1:10" ht="19.5" customHeight="1">
      <c r="A55" s="167" t="s">
        <v>1607</v>
      </c>
      <c r="B55" s="168" t="str">
        <f>RIGHT("a12035748",LEN("a12035748")-1)</f>
        <v>12035748</v>
      </c>
      <c r="C55" s="169" t="s">
        <v>1608</v>
      </c>
      <c r="D55" s="170">
        <v>32801</v>
      </c>
      <c r="E55" s="169" t="s">
        <v>1533</v>
      </c>
      <c r="F55" s="168">
        <f t="shared" si="0"/>
      </c>
      <c r="G55" s="169" t="s">
        <v>1534</v>
      </c>
      <c r="H55" s="169" t="s">
        <v>1535</v>
      </c>
      <c r="I55" s="169" t="s">
        <v>1600</v>
      </c>
      <c r="J55" s="171"/>
    </row>
    <row r="56" spans="1:10" ht="19.5" customHeight="1">
      <c r="A56" s="167" t="s">
        <v>1609</v>
      </c>
      <c r="B56" s="168" t="str">
        <f>RIGHT("a12035279",LEN("a12035279")-1)</f>
        <v>12035279</v>
      </c>
      <c r="C56" s="169" t="s">
        <v>1610</v>
      </c>
      <c r="D56" s="170">
        <v>32720</v>
      </c>
      <c r="E56" s="169" t="s">
        <v>1533</v>
      </c>
      <c r="F56" s="168">
        <f t="shared" si="0"/>
      </c>
      <c r="G56" s="169" t="s">
        <v>1534</v>
      </c>
      <c r="H56" s="169" t="s">
        <v>1611</v>
      </c>
      <c r="I56" s="169" t="s">
        <v>1612</v>
      </c>
      <c r="J56" s="171"/>
    </row>
    <row r="57" spans="1:10" ht="19.5" customHeight="1">
      <c r="A57" s="167" t="s">
        <v>1613</v>
      </c>
      <c r="B57" s="168" t="str">
        <f>RIGHT("a12035019",LEN("a12035019")-1)</f>
        <v>12035019</v>
      </c>
      <c r="C57" s="169" t="s">
        <v>1614</v>
      </c>
      <c r="D57" s="170">
        <v>32858</v>
      </c>
      <c r="E57" s="169" t="s">
        <v>1533</v>
      </c>
      <c r="F57" s="168">
        <f t="shared" si="0"/>
      </c>
      <c r="G57" s="169" t="s">
        <v>1534</v>
      </c>
      <c r="H57" s="169" t="s">
        <v>1611</v>
      </c>
      <c r="I57" s="169" t="s">
        <v>1612</v>
      </c>
      <c r="J57" s="171"/>
    </row>
    <row r="58" spans="1:10" ht="19.5" customHeight="1">
      <c r="A58" s="167" t="s">
        <v>1615</v>
      </c>
      <c r="B58" s="168" t="str">
        <f>RIGHT("a12035272",LEN("a12035272")-1)</f>
        <v>12035272</v>
      </c>
      <c r="C58" s="169" t="s">
        <v>1616</v>
      </c>
      <c r="D58" s="170">
        <v>31339</v>
      </c>
      <c r="E58" s="169" t="s">
        <v>1533</v>
      </c>
      <c r="F58" s="168">
        <f t="shared" si="0"/>
      </c>
      <c r="G58" s="169" t="s">
        <v>1534</v>
      </c>
      <c r="H58" s="169" t="s">
        <v>1611</v>
      </c>
      <c r="I58" s="169" t="s">
        <v>1612</v>
      </c>
      <c r="J58" s="171"/>
    </row>
    <row r="59" spans="1:10" ht="19.5" customHeight="1">
      <c r="A59" s="167" t="s">
        <v>1617</v>
      </c>
      <c r="B59" s="168" t="str">
        <f>RIGHT("a12035277",LEN("a12035277")-1)</f>
        <v>12035277</v>
      </c>
      <c r="C59" s="169" t="s">
        <v>1618</v>
      </c>
      <c r="D59" s="170">
        <v>32027</v>
      </c>
      <c r="E59" s="169" t="s">
        <v>1533</v>
      </c>
      <c r="F59" s="168">
        <f t="shared" si="0"/>
      </c>
      <c r="G59" s="169" t="s">
        <v>1534</v>
      </c>
      <c r="H59" s="169" t="s">
        <v>1611</v>
      </c>
      <c r="I59" s="169" t="s">
        <v>1612</v>
      </c>
      <c r="J59" s="171"/>
    </row>
    <row r="60" spans="1:10" ht="19.5" customHeight="1">
      <c r="A60" s="167" t="s">
        <v>1619</v>
      </c>
      <c r="B60" s="168" t="str">
        <f>RIGHT("a12035280",LEN("a12035280")-1)</f>
        <v>12035280</v>
      </c>
      <c r="C60" s="169" t="s">
        <v>1620</v>
      </c>
      <c r="D60" s="170">
        <v>33188</v>
      </c>
      <c r="E60" s="169" t="s">
        <v>95</v>
      </c>
      <c r="F60" s="168">
        <f t="shared" si="0"/>
      </c>
      <c r="G60" s="169" t="s">
        <v>1534</v>
      </c>
      <c r="H60" s="169" t="s">
        <v>1611</v>
      </c>
      <c r="I60" s="169" t="s">
        <v>1612</v>
      </c>
      <c r="J60" s="171"/>
    </row>
    <row r="61" spans="1:10" ht="19.5" customHeight="1">
      <c r="A61" s="167" t="s">
        <v>1621</v>
      </c>
      <c r="B61" s="168" t="str">
        <f>RIGHT("a12035717",LEN("a12035717")-1)</f>
        <v>12035717</v>
      </c>
      <c r="C61" s="169" t="s">
        <v>1622</v>
      </c>
      <c r="D61" s="170">
        <v>32458</v>
      </c>
      <c r="E61" s="169" t="s">
        <v>95</v>
      </c>
      <c r="F61" s="168">
        <f t="shared" si="0"/>
      </c>
      <c r="G61" s="169" t="s">
        <v>1534</v>
      </c>
      <c r="H61" s="169" t="s">
        <v>1611</v>
      </c>
      <c r="I61" s="169" t="s">
        <v>1612</v>
      </c>
      <c r="J61" s="171"/>
    </row>
    <row r="62" spans="1:10" ht="19.5" customHeight="1">
      <c r="A62" s="167" t="s">
        <v>1623</v>
      </c>
      <c r="B62" s="168" t="str">
        <f>RIGHT("a12035270",LEN("a12035270")-1)</f>
        <v>12035270</v>
      </c>
      <c r="C62" s="169" t="s">
        <v>1624</v>
      </c>
      <c r="D62" s="170">
        <v>33145</v>
      </c>
      <c r="E62" s="169" t="s">
        <v>1533</v>
      </c>
      <c r="F62" s="168">
        <f t="shared" si="0"/>
      </c>
      <c r="G62" s="169" t="s">
        <v>1534</v>
      </c>
      <c r="H62" s="169" t="s">
        <v>1611</v>
      </c>
      <c r="I62" s="169" t="s">
        <v>1612</v>
      </c>
      <c r="J62" s="171"/>
    </row>
    <row r="63" spans="1:10" ht="19.5" customHeight="1">
      <c r="A63" s="167" t="s">
        <v>1625</v>
      </c>
      <c r="B63" s="168" t="str">
        <f>RIGHT("a12035716",LEN("a12035716")-1)</f>
        <v>12035716</v>
      </c>
      <c r="C63" s="169" t="s">
        <v>1626</v>
      </c>
      <c r="D63" s="170">
        <v>32436</v>
      </c>
      <c r="E63" s="169" t="s">
        <v>1533</v>
      </c>
      <c r="F63" s="168">
        <f t="shared" si="0"/>
      </c>
      <c r="G63" s="169" t="s">
        <v>1534</v>
      </c>
      <c r="H63" s="169" t="s">
        <v>1611</v>
      </c>
      <c r="I63" s="169" t="s">
        <v>1612</v>
      </c>
      <c r="J63" s="171"/>
    </row>
    <row r="64" spans="1:10" ht="19.5" customHeight="1">
      <c r="A64" s="167" t="s">
        <v>1627</v>
      </c>
      <c r="B64" s="168" t="str">
        <f>RIGHT("a12035271",LEN("a12035271")-1)</f>
        <v>12035271</v>
      </c>
      <c r="C64" s="169" t="s">
        <v>1628</v>
      </c>
      <c r="D64" s="170">
        <v>30716</v>
      </c>
      <c r="E64" s="169" t="s">
        <v>95</v>
      </c>
      <c r="F64" s="168">
        <f t="shared" si="0"/>
      </c>
      <c r="G64" s="169" t="s">
        <v>1534</v>
      </c>
      <c r="H64" s="169" t="s">
        <v>1611</v>
      </c>
      <c r="I64" s="169" t="s">
        <v>1612</v>
      </c>
      <c r="J64" s="171"/>
    </row>
    <row r="65" spans="1:10" ht="19.5" customHeight="1">
      <c r="A65" s="167" t="s">
        <v>1629</v>
      </c>
      <c r="B65" s="168" t="str">
        <f>RIGHT("a12035278",LEN("a12035278")-1)</f>
        <v>12035278</v>
      </c>
      <c r="C65" s="169" t="s">
        <v>1630</v>
      </c>
      <c r="D65" s="170">
        <v>32717</v>
      </c>
      <c r="E65" s="169" t="s">
        <v>1533</v>
      </c>
      <c r="F65" s="168">
        <f t="shared" si="0"/>
      </c>
      <c r="G65" s="169" t="s">
        <v>1534</v>
      </c>
      <c r="H65" s="169" t="s">
        <v>1611</v>
      </c>
      <c r="I65" s="169" t="s">
        <v>1612</v>
      </c>
      <c r="J65" s="171"/>
    </row>
    <row r="66" spans="1:10" ht="19.5" customHeight="1">
      <c r="A66" s="167" t="s">
        <v>1631</v>
      </c>
      <c r="B66" s="168" t="str">
        <f>RIGHT("a12035275",LEN("a12035275")-1)</f>
        <v>12035275</v>
      </c>
      <c r="C66" s="169" t="s">
        <v>1632</v>
      </c>
      <c r="D66" s="170">
        <v>33226</v>
      </c>
      <c r="E66" s="169" t="s">
        <v>1533</v>
      </c>
      <c r="F66" s="168">
        <f aca="true" t="shared" si="1" ref="F66:F129">RIGHT("a",LEN("a")-1)</f>
      </c>
      <c r="G66" s="169" t="s">
        <v>1534</v>
      </c>
      <c r="H66" s="169" t="s">
        <v>1611</v>
      </c>
      <c r="I66" s="169" t="s">
        <v>1612</v>
      </c>
      <c r="J66" s="171"/>
    </row>
    <row r="67" spans="1:10" ht="19.5" customHeight="1">
      <c r="A67" s="167" t="s">
        <v>1633</v>
      </c>
      <c r="B67" s="168" t="str">
        <f>RIGHT("a12035715",LEN("a12035715")-1)</f>
        <v>12035715</v>
      </c>
      <c r="C67" s="169" t="s">
        <v>1634</v>
      </c>
      <c r="D67" s="170">
        <v>32098</v>
      </c>
      <c r="E67" s="169" t="s">
        <v>95</v>
      </c>
      <c r="F67" s="168">
        <f t="shared" si="1"/>
      </c>
      <c r="G67" s="169" t="s">
        <v>1534</v>
      </c>
      <c r="H67" s="169" t="s">
        <v>1611</v>
      </c>
      <c r="I67" s="169" t="s">
        <v>1612</v>
      </c>
      <c r="J67" s="171"/>
    </row>
    <row r="68" spans="1:10" ht="19.5" customHeight="1">
      <c r="A68" s="167" t="s">
        <v>1635</v>
      </c>
      <c r="B68" s="168" t="str">
        <f>RIGHT("a12035276",LEN("a12035276")-1)</f>
        <v>12035276</v>
      </c>
      <c r="C68" s="169" t="s">
        <v>1636</v>
      </c>
      <c r="D68" s="170">
        <v>32785</v>
      </c>
      <c r="E68" s="169" t="s">
        <v>1533</v>
      </c>
      <c r="F68" s="168">
        <f t="shared" si="1"/>
      </c>
      <c r="G68" s="169" t="s">
        <v>1534</v>
      </c>
      <c r="H68" s="169" t="s">
        <v>1611</v>
      </c>
      <c r="I68" s="169" t="s">
        <v>1612</v>
      </c>
      <c r="J68" s="171"/>
    </row>
    <row r="69" spans="1:10" ht="19.5" customHeight="1">
      <c r="A69" s="167" t="s">
        <v>1637</v>
      </c>
      <c r="B69" s="168" t="str">
        <f>RIGHT("a12035020",LEN("a12035020")-1)</f>
        <v>12035020</v>
      </c>
      <c r="C69" s="169" t="s">
        <v>1638</v>
      </c>
      <c r="D69" s="170">
        <v>32163</v>
      </c>
      <c r="E69" s="169" t="s">
        <v>1533</v>
      </c>
      <c r="F69" s="168">
        <f t="shared" si="1"/>
      </c>
      <c r="G69" s="169" t="s">
        <v>1534</v>
      </c>
      <c r="H69" s="169" t="s">
        <v>1611</v>
      </c>
      <c r="I69" s="169" t="s">
        <v>1612</v>
      </c>
      <c r="J69" s="171"/>
    </row>
    <row r="70" spans="1:10" ht="19.5" customHeight="1">
      <c r="A70" s="167" t="s">
        <v>1639</v>
      </c>
      <c r="B70" s="168" t="str">
        <f>RIGHT("a12035274",LEN("a12035274")-1)</f>
        <v>12035274</v>
      </c>
      <c r="C70" s="169" t="s">
        <v>1640</v>
      </c>
      <c r="D70" s="170">
        <v>32809</v>
      </c>
      <c r="E70" s="169" t="s">
        <v>1533</v>
      </c>
      <c r="F70" s="168">
        <f t="shared" si="1"/>
      </c>
      <c r="G70" s="169" t="s">
        <v>1534</v>
      </c>
      <c r="H70" s="169" t="s">
        <v>1611</v>
      </c>
      <c r="I70" s="169" t="s">
        <v>1612</v>
      </c>
      <c r="J70" s="171"/>
    </row>
    <row r="71" spans="1:10" ht="19.5" customHeight="1">
      <c r="A71" s="167" t="s">
        <v>1641</v>
      </c>
      <c r="B71" s="168" t="str">
        <f>RIGHT("a12035273",LEN("a12035273")-1)</f>
        <v>12035273</v>
      </c>
      <c r="C71" s="169" t="s">
        <v>1642</v>
      </c>
      <c r="D71" s="170">
        <v>32872</v>
      </c>
      <c r="E71" s="169" t="s">
        <v>1533</v>
      </c>
      <c r="F71" s="168">
        <f t="shared" si="1"/>
      </c>
      <c r="G71" s="169" t="s">
        <v>1534</v>
      </c>
      <c r="H71" s="169" t="s">
        <v>1611</v>
      </c>
      <c r="I71" s="169" t="s">
        <v>1612</v>
      </c>
      <c r="J71" s="171"/>
    </row>
    <row r="72" spans="1:10" ht="19.5" customHeight="1">
      <c r="A72" s="167" t="s">
        <v>1643</v>
      </c>
      <c r="B72" s="168" t="str">
        <f>RIGHT("a12035022",LEN("a12035022")-1)</f>
        <v>12035022</v>
      </c>
      <c r="C72" s="169" t="s">
        <v>1644</v>
      </c>
      <c r="D72" s="170">
        <v>32492</v>
      </c>
      <c r="E72" s="169" t="s">
        <v>1533</v>
      </c>
      <c r="F72" s="168">
        <f t="shared" si="1"/>
      </c>
      <c r="G72" s="169" t="s">
        <v>1534</v>
      </c>
      <c r="H72" s="169" t="s">
        <v>1611</v>
      </c>
      <c r="I72" s="169" t="s">
        <v>1612</v>
      </c>
      <c r="J72" s="171"/>
    </row>
    <row r="73" spans="1:10" ht="19.5" customHeight="1">
      <c r="A73" s="167" t="s">
        <v>1645</v>
      </c>
      <c r="B73" s="168" t="str">
        <f>RIGHT("a12035021",LEN("a12035021")-1)</f>
        <v>12035021</v>
      </c>
      <c r="C73" s="169" t="s">
        <v>1646</v>
      </c>
      <c r="D73" s="170">
        <v>32853</v>
      </c>
      <c r="E73" s="169" t="s">
        <v>1533</v>
      </c>
      <c r="F73" s="168">
        <f t="shared" si="1"/>
      </c>
      <c r="G73" s="169" t="s">
        <v>1534</v>
      </c>
      <c r="H73" s="169" t="s">
        <v>1611</v>
      </c>
      <c r="I73" s="169" t="s">
        <v>1612</v>
      </c>
      <c r="J73" s="171"/>
    </row>
    <row r="74" spans="1:10" ht="19.5" customHeight="1">
      <c r="A74" s="167" t="s">
        <v>1647</v>
      </c>
      <c r="B74" s="168" t="str">
        <f>RIGHT("a12035023",LEN("a12035023")-1)</f>
        <v>12035023</v>
      </c>
      <c r="C74" s="169" t="s">
        <v>1648</v>
      </c>
      <c r="D74" s="170">
        <v>28155</v>
      </c>
      <c r="E74" s="169" t="s">
        <v>1533</v>
      </c>
      <c r="F74" s="168">
        <f t="shared" si="1"/>
      </c>
      <c r="G74" s="169" t="s">
        <v>1534</v>
      </c>
      <c r="H74" s="169" t="s">
        <v>1611</v>
      </c>
      <c r="I74" s="169" t="s">
        <v>1612</v>
      </c>
      <c r="J74" s="171"/>
    </row>
    <row r="75" spans="1:10" ht="19.5" customHeight="1">
      <c r="A75" s="167" t="s">
        <v>1649</v>
      </c>
      <c r="B75" s="168" t="str">
        <f>RIGHT("a12035296",LEN("a12035296")-1)</f>
        <v>12035296</v>
      </c>
      <c r="C75" s="169" t="s">
        <v>1477</v>
      </c>
      <c r="D75" s="170">
        <v>33171</v>
      </c>
      <c r="E75" s="169" t="s">
        <v>95</v>
      </c>
      <c r="F75" s="168">
        <f t="shared" si="1"/>
      </c>
      <c r="G75" s="169" t="s">
        <v>1534</v>
      </c>
      <c r="H75" s="169" t="s">
        <v>1650</v>
      </c>
      <c r="I75" s="169" t="s">
        <v>1651</v>
      </c>
      <c r="J75" s="171"/>
    </row>
    <row r="76" spans="1:10" ht="19.5" customHeight="1">
      <c r="A76" s="167" t="s">
        <v>1652</v>
      </c>
      <c r="B76" s="168" t="str">
        <f>RIGHT("a12035301",LEN("a12035301")-1)</f>
        <v>12035301</v>
      </c>
      <c r="C76" s="169" t="s">
        <v>1653</v>
      </c>
      <c r="D76" s="170">
        <v>33108</v>
      </c>
      <c r="E76" s="169" t="s">
        <v>1533</v>
      </c>
      <c r="F76" s="168">
        <f t="shared" si="1"/>
      </c>
      <c r="G76" s="169" t="s">
        <v>1534</v>
      </c>
      <c r="H76" s="169" t="s">
        <v>1650</v>
      </c>
      <c r="I76" s="169" t="s">
        <v>1651</v>
      </c>
      <c r="J76" s="171"/>
    </row>
    <row r="77" spans="1:10" ht="19.5" customHeight="1">
      <c r="A77" s="167" t="s">
        <v>1654</v>
      </c>
      <c r="B77" s="168" t="str">
        <f>RIGHT("a12035185",LEN("a12035185")-1)</f>
        <v>12035185</v>
      </c>
      <c r="C77" s="169" t="s">
        <v>1655</v>
      </c>
      <c r="D77" s="170">
        <v>32893</v>
      </c>
      <c r="E77" s="169" t="s">
        <v>1533</v>
      </c>
      <c r="F77" s="168">
        <f t="shared" si="1"/>
      </c>
      <c r="G77" s="169" t="s">
        <v>1534</v>
      </c>
      <c r="H77" s="169" t="s">
        <v>1650</v>
      </c>
      <c r="I77" s="169" t="s">
        <v>1651</v>
      </c>
      <c r="J77" s="171"/>
    </row>
    <row r="78" spans="1:10" ht="19.5" customHeight="1">
      <c r="A78" s="167" t="s">
        <v>1656</v>
      </c>
      <c r="B78" s="168" t="str">
        <f>RIGHT("a12035186",LEN("a12035186")-1)</f>
        <v>12035186</v>
      </c>
      <c r="C78" s="169" t="s">
        <v>1657</v>
      </c>
      <c r="D78" s="170">
        <v>33205</v>
      </c>
      <c r="E78" s="169" t="s">
        <v>1533</v>
      </c>
      <c r="F78" s="168">
        <f t="shared" si="1"/>
      </c>
      <c r="G78" s="169" t="s">
        <v>1534</v>
      </c>
      <c r="H78" s="169" t="s">
        <v>1650</v>
      </c>
      <c r="I78" s="169" t="s">
        <v>1651</v>
      </c>
      <c r="J78" s="171"/>
    </row>
    <row r="79" spans="1:10" ht="19.5" customHeight="1">
      <c r="A79" s="167" t="s">
        <v>1658</v>
      </c>
      <c r="B79" s="168" t="str">
        <f>RIGHT("a12035300",LEN("a12035300")-1)</f>
        <v>12035300</v>
      </c>
      <c r="C79" s="169" t="s">
        <v>1659</v>
      </c>
      <c r="D79" s="170">
        <v>32263</v>
      </c>
      <c r="E79" s="169" t="s">
        <v>1533</v>
      </c>
      <c r="F79" s="168">
        <f t="shared" si="1"/>
      </c>
      <c r="G79" s="169" t="s">
        <v>1534</v>
      </c>
      <c r="H79" s="169" t="s">
        <v>1650</v>
      </c>
      <c r="I79" s="169" t="s">
        <v>1651</v>
      </c>
      <c r="J79" s="171"/>
    </row>
    <row r="80" spans="1:10" ht="19.5" customHeight="1">
      <c r="A80" s="167" t="s">
        <v>1660</v>
      </c>
      <c r="B80" s="168" t="str">
        <f>RIGHT("a12035297",LEN("a12035297")-1)</f>
        <v>12035297</v>
      </c>
      <c r="C80" s="169" t="s">
        <v>1661</v>
      </c>
      <c r="D80" s="170">
        <v>32556</v>
      </c>
      <c r="E80" s="169" t="s">
        <v>1533</v>
      </c>
      <c r="F80" s="168">
        <f t="shared" si="1"/>
      </c>
      <c r="G80" s="169" t="s">
        <v>1534</v>
      </c>
      <c r="H80" s="169" t="s">
        <v>1650</v>
      </c>
      <c r="I80" s="169" t="s">
        <v>1651</v>
      </c>
      <c r="J80" s="171"/>
    </row>
    <row r="81" spans="1:10" ht="19.5" customHeight="1">
      <c r="A81" s="167" t="s">
        <v>1662</v>
      </c>
      <c r="B81" s="168" t="str">
        <f>RIGHT("a12035298",LEN("a12035298")-1)</f>
        <v>12035298</v>
      </c>
      <c r="C81" s="169" t="s">
        <v>1486</v>
      </c>
      <c r="D81" s="170">
        <v>32196</v>
      </c>
      <c r="E81" s="169" t="s">
        <v>1533</v>
      </c>
      <c r="F81" s="168">
        <f t="shared" si="1"/>
      </c>
      <c r="G81" s="169" t="s">
        <v>1534</v>
      </c>
      <c r="H81" s="169" t="s">
        <v>1650</v>
      </c>
      <c r="I81" s="169" t="s">
        <v>1651</v>
      </c>
      <c r="J81" s="171"/>
    </row>
    <row r="82" spans="1:10" ht="19.5" customHeight="1">
      <c r="A82" s="167" t="s">
        <v>1663</v>
      </c>
      <c r="B82" s="168" t="str">
        <f>RIGHT("a12035187",LEN("a12035187")-1)</f>
        <v>12035187</v>
      </c>
      <c r="C82" s="169" t="s">
        <v>1664</v>
      </c>
      <c r="D82" s="170">
        <v>30771</v>
      </c>
      <c r="E82" s="169" t="s">
        <v>1533</v>
      </c>
      <c r="F82" s="168">
        <f t="shared" si="1"/>
      </c>
      <c r="G82" s="169" t="s">
        <v>1534</v>
      </c>
      <c r="H82" s="169" t="s">
        <v>1650</v>
      </c>
      <c r="I82" s="169" t="s">
        <v>1651</v>
      </c>
      <c r="J82" s="171"/>
    </row>
    <row r="83" spans="1:10" ht="19.5" customHeight="1">
      <c r="A83" s="167" t="s">
        <v>1665</v>
      </c>
      <c r="B83" s="168" t="str">
        <f>RIGHT("a12035188",LEN("a12035188")-1)</f>
        <v>12035188</v>
      </c>
      <c r="C83" s="169" t="s">
        <v>1666</v>
      </c>
      <c r="D83" s="170">
        <v>32929</v>
      </c>
      <c r="E83" s="169" t="s">
        <v>1533</v>
      </c>
      <c r="F83" s="168">
        <f t="shared" si="1"/>
      </c>
      <c r="G83" s="169" t="s">
        <v>1534</v>
      </c>
      <c r="H83" s="169" t="s">
        <v>1650</v>
      </c>
      <c r="I83" s="169" t="s">
        <v>1651</v>
      </c>
      <c r="J83" s="171"/>
    </row>
    <row r="84" spans="1:10" ht="19.5" customHeight="1">
      <c r="A84" s="167" t="s">
        <v>1667</v>
      </c>
      <c r="B84" s="168" t="str">
        <f>RIGHT("a12035189",LEN("a12035189")-1)</f>
        <v>12035189</v>
      </c>
      <c r="C84" s="169" t="s">
        <v>1668</v>
      </c>
      <c r="D84" s="170">
        <v>29983</v>
      </c>
      <c r="E84" s="169" t="s">
        <v>1533</v>
      </c>
      <c r="F84" s="168">
        <f t="shared" si="1"/>
      </c>
      <c r="G84" s="169" t="s">
        <v>1534</v>
      </c>
      <c r="H84" s="169" t="s">
        <v>1650</v>
      </c>
      <c r="I84" s="169" t="s">
        <v>1651</v>
      </c>
      <c r="J84" s="171"/>
    </row>
    <row r="85" spans="1:10" ht="19.5" customHeight="1">
      <c r="A85" s="167" t="s">
        <v>1669</v>
      </c>
      <c r="B85" s="168" t="str">
        <f>RIGHT("a12035299",LEN("a12035299")-1)</f>
        <v>12035299</v>
      </c>
      <c r="C85" s="169" t="s">
        <v>1670</v>
      </c>
      <c r="D85" s="170">
        <v>33131</v>
      </c>
      <c r="E85" s="169" t="s">
        <v>1533</v>
      </c>
      <c r="F85" s="168">
        <f t="shared" si="1"/>
      </c>
      <c r="G85" s="169" t="s">
        <v>1534</v>
      </c>
      <c r="H85" s="169" t="s">
        <v>1650</v>
      </c>
      <c r="I85" s="169" t="s">
        <v>1651</v>
      </c>
      <c r="J85" s="171"/>
    </row>
    <row r="86" spans="1:10" ht="19.5" customHeight="1">
      <c r="A86" s="167" t="s">
        <v>1671</v>
      </c>
      <c r="B86" s="168" t="str">
        <f>RIGHT("a12035302",LEN("a12035302")-1)</f>
        <v>12035302</v>
      </c>
      <c r="C86" s="169" t="s">
        <v>1672</v>
      </c>
      <c r="D86" s="170">
        <v>32878</v>
      </c>
      <c r="E86" s="169" t="s">
        <v>1533</v>
      </c>
      <c r="F86" s="168">
        <f t="shared" si="1"/>
      </c>
      <c r="G86" s="169" t="s">
        <v>1534</v>
      </c>
      <c r="H86" s="169" t="s">
        <v>1650</v>
      </c>
      <c r="I86" s="169" t="s">
        <v>1651</v>
      </c>
      <c r="J86" s="171"/>
    </row>
    <row r="87" spans="1:10" ht="19.5" customHeight="1">
      <c r="A87" s="167" t="s">
        <v>1673</v>
      </c>
      <c r="B87" s="168" t="str">
        <f>RIGHT("a12035288",LEN("a12035288")-1)</f>
        <v>12035288</v>
      </c>
      <c r="C87" s="169" t="s">
        <v>1674</v>
      </c>
      <c r="D87" s="170">
        <v>33054</v>
      </c>
      <c r="E87" s="169" t="s">
        <v>95</v>
      </c>
      <c r="F87" s="168">
        <f t="shared" si="1"/>
      </c>
      <c r="G87" s="169" t="s">
        <v>1534</v>
      </c>
      <c r="H87" s="169" t="s">
        <v>847</v>
      </c>
      <c r="I87" s="169" t="s">
        <v>1675</v>
      </c>
      <c r="J87" s="171"/>
    </row>
    <row r="88" spans="1:10" ht="19.5" customHeight="1">
      <c r="A88" s="167" t="s">
        <v>1676</v>
      </c>
      <c r="B88" s="168" t="str">
        <f>RIGHT("a12035283",LEN("a12035283")-1)</f>
        <v>12035283</v>
      </c>
      <c r="C88" s="169" t="s">
        <v>1677</v>
      </c>
      <c r="D88" s="170">
        <v>32210</v>
      </c>
      <c r="E88" s="169" t="s">
        <v>95</v>
      </c>
      <c r="F88" s="168">
        <f t="shared" si="1"/>
      </c>
      <c r="G88" s="169" t="s">
        <v>1534</v>
      </c>
      <c r="H88" s="169" t="s">
        <v>847</v>
      </c>
      <c r="I88" s="169" t="s">
        <v>1675</v>
      </c>
      <c r="J88" s="171"/>
    </row>
    <row r="89" spans="1:10" ht="19.5" customHeight="1">
      <c r="A89" s="167" t="s">
        <v>1678</v>
      </c>
      <c r="B89" s="168" t="str">
        <f>RIGHT("a12035287",LEN("a12035287")-1)</f>
        <v>12035287</v>
      </c>
      <c r="C89" s="169" t="s">
        <v>1679</v>
      </c>
      <c r="D89" s="170">
        <v>32643</v>
      </c>
      <c r="E89" s="169" t="s">
        <v>95</v>
      </c>
      <c r="F89" s="168">
        <f t="shared" si="1"/>
      </c>
      <c r="G89" s="169" t="s">
        <v>1534</v>
      </c>
      <c r="H89" s="169" t="s">
        <v>847</v>
      </c>
      <c r="I89" s="169" t="s">
        <v>1675</v>
      </c>
      <c r="J89" s="171"/>
    </row>
    <row r="90" spans="1:10" ht="19.5" customHeight="1">
      <c r="A90" s="167" t="s">
        <v>1680</v>
      </c>
      <c r="B90" s="168" t="str">
        <f>RIGHT("a12035024",LEN("a12035024")-1)</f>
        <v>12035024</v>
      </c>
      <c r="C90" s="169" t="s">
        <v>1681</v>
      </c>
      <c r="D90" s="170">
        <v>30352</v>
      </c>
      <c r="E90" s="169" t="s">
        <v>95</v>
      </c>
      <c r="F90" s="168">
        <f t="shared" si="1"/>
      </c>
      <c r="G90" s="169" t="s">
        <v>1534</v>
      </c>
      <c r="H90" s="169" t="s">
        <v>847</v>
      </c>
      <c r="I90" s="169" t="s">
        <v>1675</v>
      </c>
      <c r="J90" s="171"/>
    </row>
    <row r="91" spans="1:10" ht="19.5" customHeight="1">
      <c r="A91" s="167" t="s">
        <v>1682</v>
      </c>
      <c r="B91" s="168" t="str">
        <f>RIGHT("a12035025",LEN("a12035025")-1)</f>
        <v>12035025</v>
      </c>
      <c r="C91" s="169" t="s">
        <v>1683</v>
      </c>
      <c r="D91" s="170">
        <v>32361</v>
      </c>
      <c r="E91" s="169" t="s">
        <v>1533</v>
      </c>
      <c r="F91" s="168">
        <f t="shared" si="1"/>
      </c>
      <c r="G91" s="169" t="s">
        <v>1534</v>
      </c>
      <c r="H91" s="169" t="s">
        <v>847</v>
      </c>
      <c r="I91" s="169" t="s">
        <v>1675</v>
      </c>
      <c r="J91" s="171"/>
    </row>
    <row r="92" spans="1:10" ht="19.5" customHeight="1">
      <c r="A92" s="167" t="s">
        <v>1684</v>
      </c>
      <c r="B92" s="168" t="str">
        <f>RIGHT("a12035294",LEN("a12035294")-1)</f>
        <v>12035294</v>
      </c>
      <c r="C92" s="169" t="s">
        <v>1685</v>
      </c>
      <c r="D92" s="170">
        <v>33010</v>
      </c>
      <c r="E92" s="169" t="s">
        <v>1533</v>
      </c>
      <c r="F92" s="168">
        <f t="shared" si="1"/>
      </c>
      <c r="G92" s="169" t="s">
        <v>1534</v>
      </c>
      <c r="H92" s="169" t="s">
        <v>847</v>
      </c>
      <c r="I92" s="169" t="s">
        <v>1675</v>
      </c>
      <c r="J92" s="171"/>
    </row>
    <row r="93" spans="1:10" ht="19.5" customHeight="1">
      <c r="A93" s="167" t="s">
        <v>1686</v>
      </c>
      <c r="B93" s="168" t="str">
        <f>RIGHT("a12035292",LEN("a12035292")-1)</f>
        <v>12035292</v>
      </c>
      <c r="C93" s="169" t="s">
        <v>1687</v>
      </c>
      <c r="D93" s="170">
        <v>32738</v>
      </c>
      <c r="E93" s="169" t="s">
        <v>95</v>
      </c>
      <c r="F93" s="168">
        <f t="shared" si="1"/>
      </c>
      <c r="G93" s="169" t="s">
        <v>1534</v>
      </c>
      <c r="H93" s="169" t="s">
        <v>847</v>
      </c>
      <c r="I93" s="169" t="s">
        <v>1675</v>
      </c>
      <c r="J93" s="171"/>
    </row>
    <row r="94" spans="1:10" ht="19.5" customHeight="1">
      <c r="A94" s="167" t="s">
        <v>1688</v>
      </c>
      <c r="B94" s="168" t="str">
        <f>RIGHT("a12035293",LEN("a12035293")-1)</f>
        <v>12035293</v>
      </c>
      <c r="C94" s="169" t="s">
        <v>1689</v>
      </c>
      <c r="D94" s="170">
        <v>32340</v>
      </c>
      <c r="E94" s="169" t="s">
        <v>95</v>
      </c>
      <c r="F94" s="168">
        <f t="shared" si="1"/>
      </c>
      <c r="G94" s="169" t="s">
        <v>1534</v>
      </c>
      <c r="H94" s="169" t="s">
        <v>847</v>
      </c>
      <c r="I94" s="169" t="s">
        <v>1675</v>
      </c>
      <c r="J94" s="171"/>
    </row>
    <row r="95" spans="1:10" ht="19.5" customHeight="1">
      <c r="A95" s="167" t="s">
        <v>1690</v>
      </c>
      <c r="B95" s="168" t="str">
        <f>RIGHT("a12035026",LEN("a12035026")-1)</f>
        <v>12035026</v>
      </c>
      <c r="C95" s="169" t="s">
        <v>1691</v>
      </c>
      <c r="D95" s="170">
        <v>30987</v>
      </c>
      <c r="E95" s="169" t="s">
        <v>95</v>
      </c>
      <c r="F95" s="168">
        <f t="shared" si="1"/>
      </c>
      <c r="G95" s="169" t="s">
        <v>1534</v>
      </c>
      <c r="H95" s="169" t="s">
        <v>847</v>
      </c>
      <c r="I95" s="169" t="s">
        <v>1675</v>
      </c>
      <c r="J95" s="171"/>
    </row>
    <row r="96" spans="1:10" ht="19.5" customHeight="1">
      <c r="A96" s="167" t="s">
        <v>1692</v>
      </c>
      <c r="B96" s="168" t="str">
        <f>RIGHT("a12035281",LEN("a12035281")-1)</f>
        <v>12035281</v>
      </c>
      <c r="C96" s="169" t="s">
        <v>1693</v>
      </c>
      <c r="D96" s="170">
        <v>31075</v>
      </c>
      <c r="E96" s="169" t="s">
        <v>1533</v>
      </c>
      <c r="F96" s="168">
        <f t="shared" si="1"/>
      </c>
      <c r="G96" s="169" t="s">
        <v>1534</v>
      </c>
      <c r="H96" s="169" t="s">
        <v>847</v>
      </c>
      <c r="I96" s="169" t="s">
        <v>1675</v>
      </c>
      <c r="J96" s="171"/>
    </row>
    <row r="97" spans="1:10" ht="19.5" customHeight="1">
      <c r="A97" s="167" t="s">
        <v>1694</v>
      </c>
      <c r="B97" s="168" t="str">
        <f>RIGHT("a12035291",LEN("a12035291")-1)</f>
        <v>12035291</v>
      </c>
      <c r="C97" s="169" t="s">
        <v>1695</v>
      </c>
      <c r="D97" s="170">
        <v>33227</v>
      </c>
      <c r="E97" s="169" t="s">
        <v>1533</v>
      </c>
      <c r="F97" s="168">
        <f t="shared" si="1"/>
      </c>
      <c r="G97" s="169" t="s">
        <v>1534</v>
      </c>
      <c r="H97" s="169" t="s">
        <v>847</v>
      </c>
      <c r="I97" s="169" t="s">
        <v>1675</v>
      </c>
      <c r="J97" s="171"/>
    </row>
    <row r="98" spans="1:10" ht="19.5" customHeight="1">
      <c r="A98" s="167" t="s">
        <v>1696</v>
      </c>
      <c r="B98" s="168" t="str">
        <f>RIGHT("a12035027",LEN("a12035027")-1)</f>
        <v>12035027</v>
      </c>
      <c r="C98" s="169" t="s">
        <v>1697</v>
      </c>
      <c r="D98" s="170">
        <v>31768</v>
      </c>
      <c r="E98" s="169" t="s">
        <v>95</v>
      </c>
      <c r="F98" s="168">
        <f t="shared" si="1"/>
      </c>
      <c r="G98" s="169" t="s">
        <v>1534</v>
      </c>
      <c r="H98" s="169" t="s">
        <v>847</v>
      </c>
      <c r="I98" s="169" t="s">
        <v>1675</v>
      </c>
      <c r="J98" s="171"/>
    </row>
    <row r="99" spans="1:10" ht="19.5" customHeight="1">
      <c r="A99" s="167" t="s">
        <v>1698</v>
      </c>
      <c r="B99" s="168" t="str">
        <f>RIGHT("a12035286",LEN("a12035286")-1)</f>
        <v>12035286</v>
      </c>
      <c r="C99" s="169" t="s">
        <v>1699</v>
      </c>
      <c r="D99" s="170">
        <v>33122</v>
      </c>
      <c r="E99" s="169" t="s">
        <v>1533</v>
      </c>
      <c r="F99" s="168">
        <f t="shared" si="1"/>
      </c>
      <c r="G99" s="169" t="s">
        <v>1534</v>
      </c>
      <c r="H99" s="169" t="s">
        <v>847</v>
      </c>
      <c r="I99" s="169" t="s">
        <v>1675</v>
      </c>
      <c r="J99" s="171"/>
    </row>
    <row r="100" spans="1:10" ht="19.5" customHeight="1">
      <c r="A100" s="167" t="s">
        <v>1700</v>
      </c>
      <c r="B100" s="168" t="str">
        <f>RIGHT("a12035028",LEN("a12035028")-1)</f>
        <v>12035028</v>
      </c>
      <c r="C100" s="169" t="s">
        <v>1701</v>
      </c>
      <c r="D100" s="170">
        <v>27386</v>
      </c>
      <c r="E100" s="169" t="s">
        <v>95</v>
      </c>
      <c r="F100" s="168">
        <f t="shared" si="1"/>
      </c>
      <c r="G100" s="169" t="s">
        <v>1534</v>
      </c>
      <c r="H100" s="169" t="s">
        <v>847</v>
      </c>
      <c r="I100" s="169" t="s">
        <v>1675</v>
      </c>
      <c r="J100" s="171"/>
    </row>
    <row r="101" spans="1:10" ht="19.5" customHeight="1">
      <c r="A101" s="167" t="s">
        <v>1702</v>
      </c>
      <c r="B101" s="168" t="str">
        <f>RIGHT("a12035282",LEN("a12035282")-1)</f>
        <v>12035282</v>
      </c>
      <c r="C101" s="169" t="s">
        <v>1703</v>
      </c>
      <c r="D101" s="170">
        <v>32530</v>
      </c>
      <c r="E101" s="169" t="s">
        <v>95</v>
      </c>
      <c r="F101" s="168">
        <f t="shared" si="1"/>
      </c>
      <c r="G101" s="169" t="s">
        <v>1534</v>
      </c>
      <c r="H101" s="169" t="s">
        <v>847</v>
      </c>
      <c r="I101" s="169" t="s">
        <v>1675</v>
      </c>
      <c r="J101" s="171"/>
    </row>
    <row r="102" spans="1:10" ht="19.5" customHeight="1">
      <c r="A102" s="167" t="s">
        <v>1704</v>
      </c>
      <c r="B102" s="168" t="str">
        <f>RIGHT("a12035284",LEN("a12035284")-1)</f>
        <v>12035284</v>
      </c>
      <c r="C102" s="169" t="s">
        <v>1705</v>
      </c>
      <c r="D102" s="170">
        <v>32780</v>
      </c>
      <c r="E102" s="169" t="s">
        <v>1533</v>
      </c>
      <c r="F102" s="168">
        <f t="shared" si="1"/>
      </c>
      <c r="G102" s="169" t="s">
        <v>1534</v>
      </c>
      <c r="H102" s="169" t="s">
        <v>847</v>
      </c>
      <c r="I102" s="169" t="s">
        <v>1675</v>
      </c>
      <c r="J102" s="171"/>
    </row>
    <row r="103" spans="1:10" ht="19.5" customHeight="1">
      <c r="A103" s="167" t="s">
        <v>1706</v>
      </c>
      <c r="B103" s="168" t="str">
        <f>RIGHT("a12035295",LEN("a12035295")-1)</f>
        <v>12035295</v>
      </c>
      <c r="C103" s="169" t="s">
        <v>1707</v>
      </c>
      <c r="D103" s="170">
        <v>32900</v>
      </c>
      <c r="E103" s="169" t="s">
        <v>95</v>
      </c>
      <c r="F103" s="168">
        <f t="shared" si="1"/>
      </c>
      <c r="G103" s="169" t="s">
        <v>1534</v>
      </c>
      <c r="H103" s="169" t="s">
        <v>847</v>
      </c>
      <c r="I103" s="169" t="s">
        <v>1675</v>
      </c>
      <c r="J103" s="171"/>
    </row>
    <row r="104" spans="1:10" ht="19.5" customHeight="1">
      <c r="A104" s="167" t="s">
        <v>1708</v>
      </c>
      <c r="B104" s="168" t="str">
        <f>RIGHT("a12035029",LEN("a12035029")-1)</f>
        <v>12035029</v>
      </c>
      <c r="C104" s="169" t="s">
        <v>1709</v>
      </c>
      <c r="D104" s="170">
        <v>31331</v>
      </c>
      <c r="E104" s="169" t="s">
        <v>1533</v>
      </c>
      <c r="F104" s="168">
        <f t="shared" si="1"/>
      </c>
      <c r="G104" s="169" t="s">
        <v>1534</v>
      </c>
      <c r="H104" s="169" t="s">
        <v>847</v>
      </c>
      <c r="I104" s="169" t="s">
        <v>1675</v>
      </c>
      <c r="J104" s="171"/>
    </row>
    <row r="105" spans="1:10" ht="19.5" customHeight="1">
      <c r="A105" s="167" t="s">
        <v>1710</v>
      </c>
      <c r="B105" s="168" t="str">
        <f>RIGHT("a12035030",LEN("a12035030")-1)</f>
        <v>12035030</v>
      </c>
      <c r="C105" s="169" t="s">
        <v>450</v>
      </c>
      <c r="D105" s="170">
        <v>31864</v>
      </c>
      <c r="E105" s="169" t="s">
        <v>1533</v>
      </c>
      <c r="F105" s="168">
        <f t="shared" si="1"/>
      </c>
      <c r="G105" s="169" t="s">
        <v>1534</v>
      </c>
      <c r="H105" s="169" t="s">
        <v>847</v>
      </c>
      <c r="I105" s="169" t="s">
        <v>1675</v>
      </c>
      <c r="J105" s="171"/>
    </row>
    <row r="106" spans="1:10" ht="19.5" customHeight="1">
      <c r="A106" s="167" t="s">
        <v>1711</v>
      </c>
      <c r="B106" s="168" t="str">
        <f>RIGHT("a12035290",LEN("a12035290")-1)</f>
        <v>12035290</v>
      </c>
      <c r="C106" s="169" t="s">
        <v>1712</v>
      </c>
      <c r="D106" s="170">
        <v>32186</v>
      </c>
      <c r="E106" s="169" t="s">
        <v>95</v>
      </c>
      <c r="F106" s="168">
        <f t="shared" si="1"/>
      </c>
      <c r="G106" s="169" t="s">
        <v>1534</v>
      </c>
      <c r="H106" s="169" t="s">
        <v>847</v>
      </c>
      <c r="I106" s="169" t="s">
        <v>1675</v>
      </c>
      <c r="J106" s="171"/>
    </row>
    <row r="107" spans="1:10" ht="19.5" customHeight="1">
      <c r="A107" s="167" t="s">
        <v>1713</v>
      </c>
      <c r="B107" s="168" t="str">
        <f>RIGHT("a12035289",LEN("a12035289")-1)</f>
        <v>12035289</v>
      </c>
      <c r="C107" s="169" t="s">
        <v>1714</v>
      </c>
      <c r="D107" s="170">
        <v>31900</v>
      </c>
      <c r="E107" s="169" t="s">
        <v>1533</v>
      </c>
      <c r="F107" s="168">
        <f t="shared" si="1"/>
      </c>
      <c r="G107" s="169" t="s">
        <v>1534</v>
      </c>
      <c r="H107" s="169" t="s">
        <v>847</v>
      </c>
      <c r="I107" s="169" t="s">
        <v>1675</v>
      </c>
      <c r="J107" s="171"/>
    </row>
    <row r="108" spans="1:10" ht="19.5" customHeight="1">
      <c r="A108" s="167" t="s">
        <v>1715</v>
      </c>
      <c r="B108" s="168" t="str">
        <f>RIGHT("a12035285",LEN("a12035285")-1)</f>
        <v>12035285</v>
      </c>
      <c r="C108" s="169" t="s">
        <v>1716</v>
      </c>
      <c r="D108" s="170">
        <v>32826</v>
      </c>
      <c r="E108" s="169" t="s">
        <v>95</v>
      </c>
      <c r="F108" s="168">
        <f t="shared" si="1"/>
      </c>
      <c r="G108" s="169" t="s">
        <v>1534</v>
      </c>
      <c r="H108" s="169" t="s">
        <v>847</v>
      </c>
      <c r="I108" s="169" t="s">
        <v>1675</v>
      </c>
      <c r="J108" s="171"/>
    </row>
    <row r="109" spans="1:10" ht="19.5" customHeight="1">
      <c r="A109" s="167" t="s">
        <v>1717</v>
      </c>
      <c r="B109" s="168" t="str">
        <f>RIGHT("a12035031",LEN("a12035031")-1)</f>
        <v>12035031</v>
      </c>
      <c r="C109" s="169" t="s">
        <v>1718</v>
      </c>
      <c r="D109" s="170">
        <v>31537</v>
      </c>
      <c r="E109" s="169" t="s">
        <v>95</v>
      </c>
      <c r="F109" s="168">
        <f t="shared" si="1"/>
      </c>
      <c r="G109" s="169" t="s">
        <v>1534</v>
      </c>
      <c r="H109" s="169" t="s">
        <v>847</v>
      </c>
      <c r="I109" s="169" t="s">
        <v>1675</v>
      </c>
      <c r="J109" s="171"/>
    </row>
    <row r="110" spans="1:10" ht="19.5" customHeight="1">
      <c r="A110" s="167" t="s">
        <v>1719</v>
      </c>
      <c r="B110" s="168" t="str">
        <f>RIGHT("a12035913",LEN("a12035913")-1)</f>
        <v>12035913</v>
      </c>
      <c r="C110" s="169" t="s">
        <v>1720</v>
      </c>
      <c r="D110" s="170">
        <v>31187</v>
      </c>
      <c r="E110" s="169" t="s">
        <v>1533</v>
      </c>
      <c r="F110" s="168">
        <f t="shared" si="1"/>
      </c>
      <c r="G110" s="169" t="s">
        <v>1534</v>
      </c>
      <c r="H110" s="169" t="s">
        <v>847</v>
      </c>
      <c r="I110" s="169" t="s">
        <v>1721</v>
      </c>
      <c r="J110" s="171"/>
    </row>
    <row r="111" spans="1:10" ht="19.5" customHeight="1">
      <c r="A111" s="167" t="s">
        <v>1722</v>
      </c>
      <c r="B111" s="168" t="str">
        <f>RIGHT("a12035909",LEN("a12035909")-1)</f>
        <v>12035909</v>
      </c>
      <c r="C111" s="169" t="s">
        <v>1723</v>
      </c>
      <c r="D111" s="170">
        <v>30153</v>
      </c>
      <c r="E111" s="169" t="s">
        <v>1533</v>
      </c>
      <c r="F111" s="168">
        <f t="shared" si="1"/>
      </c>
      <c r="G111" s="169" t="s">
        <v>1534</v>
      </c>
      <c r="H111" s="169" t="s">
        <v>847</v>
      </c>
      <c r="I111" s="169" t="s">
        <v>1721</v>
      </c>
      <c r="J111" s="171"/>
    </row>
    <row r="112" spans="1:10" ht="19.5" customHeight="1">
      <c r="A112" s="167" t="s">
        <v>1724</v>
      </c>
      <c r="B112" s="168" t="str">
        <f>RIGHT("a12035910",LEN("a12035910")-1)</f>
        <v>12035910</v>
      </c>
      <c r="C112" s="169" t="s">
        <v>1725</v>
      </c>
      <c r="D112" s="170">
        <v>30492</v>
      </c>
      <c r="E112" s="169" t="s">
        <v>95</v>
      </c>
      <c r="F112" s="168">
        <f t="shared" si="1"/>
      </c>
      <c r="G112" s="169" t="s">
        <v>1534</v>
      </c>
      <c r="H112" s="169" t="s">
        <v>847</v>
      </c>
      <c r="I112" s="169" t="s">
        <v>1721</v>
      </c>
      <c r="J112" s="171"/>
    </row>
    <row r="113" spans="1:10" ht="19.5" customHeight="1">
      <c r="A113" s="167" t="s">
        <v>1726</v>
      </c>
      <c r="B113" s="168" t="str">
        <f>RIGHT("a12035911",LEN("a12035911")-1)</f>
        <v>12035911</v>
      </c>
      <c r="C113" s="169" t="s">
        <v>1727</v>
      </c>
      <c r="D113" s="170">
        <v>31240</v>
      </c>
      <c r="E113" s="169" t="s">
        <v>95</v>
      </c>
      <c r="F113" s="168">
        <f t="shared" si="1"/>
      </c>
      <c r="G113" s="169" t="s">
        <v>1534</v>
      </c>
      <c r="H113" s="169" t="s">
        <v>847</v>
      </c>
      <c r="I113" s="169" t="s">
        <v>1721</v>
      </c>
      <c r="J113" s="171"/>
    </row>
    <row r="114" spans="1:10" ht="19.5" customHeight="1">
      <c r="A114" s="167" t="s">
        <v>1728</v>
      </c>
      <c r="B114" s="168" t="str">
        <f>RIGHT("a12035912",LEN("a12035912")-1)</f>
        <v>12035912</v>
      </c>
      <c r="C114" s="169" t="s">
        <v>1729</v>
      </c>
      <c r="D114" s="170">
        <v>24546</v>
      </c>
      <c r="E114" s="169" t="s">
        <v>95</v>
      </c>
      <c r="F114" s="168">
        <f t="shared" si="1"/>
      </c>
      <c r="G114" s="169" t="s">
        <v>1534</v>
      </c>
      <c r="H114" s="169" t="s">
        <v>847</v>
      </c>
      <c r="I114" s="169" t="s">
        <v>1721</v>
      </c>
      <c r="J114" s="171"/>
    </row>
    <row r="115" spans="1:10" ht="19.5" customHeight="1">
      <c r="A115" s="167" t="s">
        <v>1730</v>
      </c>
      <c r="B115" s="168" t="str">
        <f>RIGHT("a12035914",LEN("a12035914")-1)</f>
        <v>12035914</v>
      </c>
      <c r="C115" s="169" t="s">
        <v>1731</v>
      </c>
      <c r="D115" s="170">
        <v>30612</v>
      </c>
      <c r="E115" s="169" t="s">
        <v>95</v>
      </c>
      <c r="F115" s="168">
        <f t="shared" si="1"/>
      </c>
      <c r="G115" s="169" t="s">
        <v>1534</v>
      </c>
      <c r="H115" s="169" t="s">
        <v>847</v>
      </c>
      <c r="I115" s="169" t="s">
        <v>1721</v>
      </c>
      <c r="J115" s="171"/>
    </row>
    <row r="116" spans="1:10" ht="19.5" customHeight="1">
      <c r="A116" s="167" t="s">
        <v>1732</v>
      </c>
      <c r="B116" s="168" t="str">
        <f>RIGHT("a12035915",LEN("a12035915")-1)</f>
        <v>12035915</v>
      </c>
      <c r="C116" s="169" t="s">
        <v>1733</v>
      </c>
      <c r="D116" s="170">
        <v>29641</v>
      </c>
      <c r="E116" s="169" t="s">
        <v>95</v>
      </c>
      <c r="F116" s="168">
        <f t="shared" si="1"/>
      </c>
      <c r="G116" s="169" t="s">
        <v>1534</v>
      </c>
      <c r="H116" s="169" t="s">
        <v>847</v>
      </c>
      <c r="I116" s="169" t="s">
        <v>1721</v>
      </c>
      <c r="J116" s="171"/>
    </row>
    <row r="117" spans="1:10" ht="19.5" customHeight="1">
      <c r="A117" s="167" t="s">
        <v>1734</v>
      </c>
      <c r="B117" s="168" t="str">
        <f>RIGHT("a12035916",LEN("a12035916")-1)</f>
        <v>12035916</v>
      </c>
      <c r="C117" s="169" t="s">
        <v>1735</v>
      </c>
      <c r="D117" s="170">
        <v>29491</v>
      </c>
      <c r="E117" s="169" t="s">
        <v>1533</v>
      </c>
      <c r="F117" s="168">
        <f t="shared" si="1"/>
      </c>
      <c r="G117" s="169" t="s">
        <v>1534</v>
      </c>
      <c r="H117" s="169" t="s">
        <v>847</v>
      </c>
      <c r="I117" s="169" t="s">
        <v>1721</v>
      </c>
      <c r="J117" s="171"/>
    </row>
    <row r="118" spans="1:10" ht="19.5" customHeight="1">
      <c r="A118" s="167" t="s">
        <v>1736</v>
      </c>
      <c r="B118" s="168" t="str">
        <f>RIGHT("a12035892",LEN("a12035892")-1)</f>
        <v>12035892</v>
      </c>
      <c r="C118" s="169" t="s">
        <v>1737</v>
      </c>
      <c r="D118" s="170">
        <v>27360</v>
      </c>
      <c r="E118" s="169" t="s">
        <v>95</v>
      </c>
      <c r="F118" s="168">
        <f t="shared" si="1"/>
      </c>
      <c r="G118" s="169" t="s">
        <v>1534</v>
      </c>
      <c r="H118" s="169" t="s">
        <v>847</v>
      </c>
      <c r="I118" s="169" t="s">
        <v>1738</v>
      </c>
      <c r="J118" s="171"/>
    </row>
    <row r="119" spans="1:10" ht="19.5" customHeight="1">
      <c r="A119" s="167" t="s">
        <v>1739</v>
      </c>
      <c r="B119" s="168" t="str">
        <f>RIGHT("a12035881",LEN("a12035881")-1)</f>
        <v>12035881</v>
      </c>
      <c r="C119" s="169" t="s">
        <v>1740</v>
      </c>
      <c r="D119" s="170">
        <v>29325</v>
      </c>
      <c r="E119" s="169" t="s">
        <v>1533</v>
      </c>
      <c r="F119" s="168">
        <f t="shared" si="1"/>
      </c>
      <c r="G119" s="169" t="s">
        <v>1534</v>
      </c>
      <c r="H119" s="169" t="s">
        <v>847</v>
      </c>
      <c r="I119" s="169" t="s">
        <v>1738</v>
      </c>
      <c r="J119" s="171"/>
    </row>
    <row r="120" spans="1:10" ht="19.5" customHeight="1">
      <c r="A120" s="167" t="s">
        <v>1741</v>
      </c>
      <c r="B120" s="168" t="str">
        <f>RIGHT("a12035883",LEN("a12035883")-1)</f>
        <v>12035883</v>
      </c>
      <c r="C120" s="169" t="s">
        <v>1742</v>
      </c>
      <c r="D120" s="170">
        <v>29133</v>
      </c>
      <c r="E120" s="169" t="s">
        <v>95</v>
      </c>
      <c r="F120" s="168">
        <f t="shared" si="1"/>
      </c>
      <c r="G120" s="169" t="s">
        <v>1534</v>
      </c>
      <c r="H120" s="169" t="s">
        <v>847</v>
      </c>
      <c r="I120" s="169" t="s">
        <v>1738</v>
      </c>
      <c r="J120" s="171"/>
    </row>
    <row r="121" spans="1:10" ht="19.5" customHeight="1">
      <c r="A121" s="167" t="s">
        <v>1743</v>
      </c>
      <c r="B121" s="168" t="str">
        <f>RIGHT("a12035884",LEN("a12035884")-1)</f>
        <v>12035884</v>
      </c>
      <c r="C121" s="169" t="s">
        <v>1744</v>
      </c>
      <c r="D121" s="170">
        <v>30248</v>
      </c>
      <c r="E121" s="169" t="s">
        <v>95</v>
      </c>
      <c r="F121" s="168">
        <f t="shared" si="1"/>
      </c>
      <c r="G121" s="169" t="s">
        <v>1534</v>
      </c>
      <c r="H121" s="169" t="s">
        <v>847</v>
      </c>
      <c r="I121" s="169" t="s">
        <v>1738</v>
      </c>
      <c r="J121" s="171"/>
    </row>
    <row r="122" spans="1:10" ht="19.5" customHeight="1">
      <c r="A122" s="167" t="s">
        <v>1745</v>
      </c>
      <c r="B122" s="168" t="str">
        <f>RIGHT("a12035882",LEN("a12035882")-1)</f>
        <v>12035882</v>
      </c>
      <c r="C122" s="169" t="s">
        <v>1746</v>
      </c>
      <c r="D122" s="170">
        <v>29069</v>
      </c>
      <c r="E122" s="169" t="s">
        <v>1533</v>
      </c>
      <c r="F122" s="168">
        <f t="shared" si="1"/>
      </c>
      <c r="G122" s="169" t="s">
        <v>1534</v>
      </c>
      <c r="H122" s="169" t="s">
        <v>847</v>
      </c>
      <c r="I122" s="169" t="s">
        <v>1738</v>
      </c>
      <c r="J122" s="171"/>
    </row>
    <row r="123" spans="1:10" ht="19.5" customHeight="1">
      <c r="A123" s="167" t="s">
        <v>1747</v>
      </c>
      <c r="B123" s="168" t="str">
        <f>RIGHT("a12035877",LEN("a12035877")-1)</f>
        <v>12035877</v>
      </c>
      <c r="C123" s="169" t="s">
        <v>1748</v>
      </c>
      <c r="D123" s="170">
        <v>31163</v>
      </c>
      <c r="E123" s="169" t="s">
        <v>95</v>
      </c>
      <c r="F123" s="168">
        <f t="shared" si="1"/>
      </c>
      <c r="G123" s="169" t="s">
        <v>1534</v>
      </c>
      <c r="H123" s="169" t="s">
        <v>847</v>
      </c>
      <c r="I123" s="169" t="s">
        <v>1738</v>
      </c>
      <c r="J123" s="171"/>
    </row>
    <row r="124" spans="1:10" ht="19.5" customHeight="1">
      <c r="A124" s="167" t="s">
        <v>1749</v>
      </c>
      <c r="B124" s="168" t="str">
        <f>RIGHT("a12035878",LEN("a12035878")-1)</f>
        <v>12035878</v>
      </c>
      <c r="C124" s="169" t="s">
        <v>1750</v>
      </c>
      <c r="D124" s="170">
        <v>28831</v>
      </c>
      <c r="E124" s="169" t="s">
        <v>1533</v>
      </c>
      <c r="F124" s="168">
        <f t="shared" si="1"/>
      </c>
      <c r="G124" s="169" t="s">
        <v>1534</v>
      </c>
      <c r="H124" s="169" t="s">
        <v>847</v>
      </c>
      <c r="I124" s="169" t="s">
        <v>1738</v>
      </c>
      <c r="J124" s="171"/>
    </row>
    <row r="125" spans="1:10" ht="19.5" customHeight="1">
      <c r="A125" s="167" t="s">
        <v>1751</v>
      </c>
      <c r="B125" s="168" t="str">
        <f>RIGHT("a12035885",LEN("a12035885")-1)</f>
        <v>12035885</v>
      </c>
      <c r="C125" s="169" t="s">
        <v>1752</v>
      </c>
      <c r="D125" s="170">
        <v>29647</v>
      </c>
      <c r="E125" s="169" t="s">
        <v>95</v>
      </c>
      <c r="F125" s="168">
        <f t="shared" si="1"/>
      </c>
      <c r="G125" s="169" t="s">
        <v>1534</v>
      </c>
      <c r="H125" s="169" t="s">
        <v>847</v>
      </c>
      <c r="I125" s="169" t="s">
        <v>1738</v>
      </c>
      <c r="J125" s="171"/>
    </row>
    <row r="126" spans="1:10" ht="19.5" customHeight="1">
      <c r="A126" s="167" t="s">
        <v>1753</v>
      </c>
      <c r="B126" s="168" t="str">
        <f>RIGHT("a12035869",LEN("a12035869")-1)</f>
        <v>12035869</v>
      </c>
      <c r="C126" s="169" t="s">
        <v>1754</v>
      </c>
      <c r="D126" s="170">
        <v>31200</v>
      </c>
      <c r="E126" s="169" t="s">
        <v>1533</v>
      </c>
      <c r="F126" s="168">
        <f t="shared" si="1"/>
      </c>
      <c r="G126" s="169" t="s">
        <v>1534</v>
      </c>
      <c r="H126" s="169" t="s">
        <v>847</v>
      </c>
      <c r="I126" s="169" t="s">
        <v>1738</v>
      </c>
      <c r="J126" s="171"/>
    </row>
    <row r="127" spans="1:10" ht="19.5" customHeight="1">
      <c r="A127" s="167" t="s">
        <v>1755</v>
      </c>
      <c r="B127" s="168" t="str">
        <f>RIGHT("a12035895",LEN("a12035895")-1)</f>
        <v>12035895</v>
      </c>
      <c r="C127" s="169" t="s">
        <v>1756</v>
      </c>
      <c r="D127" s="170">
        <v>31048</v>
      </c>
      <c r="E127" s="169" t="s">
        <v>1533</v>
      </c>
      <c r="F127" s="168">
        <f t="shared" si="1"/>
      </c>
      <c r="G127" s="169" t="s">
        <v>1534</v>
      </c>
      <c r="H127" s="169" t="s">
        <v>847</v>
      </c>
      <c r="I127" s="169" t="s">
        <v>1738</v>
      </c>
      <c r="J127" s="171"/>
    </row>
    <row r="128" spans="1:10" ht="19.5" customHeight="1">
      <c r="A128" s="167" t="s">
        <v>1757</v>
      </c>
      <c r="B128" s="168" t="str">
        <f>RIGHT("a12035890",LEN("a12035890")-1)</f>
        <v>12035890</v>
      </c>
      <c r="C128" s="169" t="s">
        <v>1758</v>
      </c>
      <c r="D128" s="170">
        <v>32187</v>
      </c>
      <c r="E128" s="169" t="s">
        <v>1533</v>
      </c>
      <c r="F128" s="168">
        <f t="shared" si="1"/>
      </c>
      <c r="G128" s="169" t="s">
        <v>1534</v>
      </c>
      <c r="H128" s="169" t="s">
        <v>847</v>
      </c>
      <c r="I128" s="169" t="s">
        <v>1738</v>
      </c>
      <c r="J128" s="171"/>
    </row>
    <row r="129" spans="1:10" ht="19.5" customHeight="1">
      <c r="A129" s="167" t="s">
        <v>1759</v>
      </c>
      <c r="B129" s="168" t="str">
        <f>RIGHT("a12035867",LEN("a12035867")-1)</f>
        <v>12035867</v>
      </c>
      <c r="C129" s="169" t="s">
        <v>1758</v>
      </c>
      <c r="D129" s="170">
        <v>30536</v>
      </c>
      <c r="E129" s="169" t="s">
        <v>1533</v>
      </c>
      <c r="F129" s="168">
        <f t="shared" si="1"/>
      </c>
      <c r="G129" s="169" t="s">
        <v>1534</v>
      </c>
      <c r="H129" s="169" t="s">
        <v>847</v>
      </c>
      <c r="I129" s="169" t="s">
        <v>1738</v>
      </c>
      <c r="J129" s="171"/>
    </row>
    <row r="130" spans="1:10" ht="19.5" customHeight="1">
      <c r="A130" s="167" t="s">
        <v>1760</v>
      </c>
      <c r="B130" s="168" t="str">
        <f>RIGHT("a12035874",LEN("a12035874")-1)</f>
        <v>12035874</v>
      </c>
      <c r="C130" s="169" t="s">
        <v>1761</v>
      </c>
      <c r="D130" s="170">
        <v>29146</v>
      </c>
      <c r="E130" s="169" t="s">
        <v>95</v>
      </c>
      <c r="F130" s="168">
        <f aca="true" t="shared" si="2" ref="F130:F193">RIGHT("a",LEN("a")-1)</f>
      </c>
      <c r="G130" s="169" t="s">
        <v>1534</v>
      </c>
      <c r="H130" s="169" t="s">
        <v>847</v>
      </c>
      <c r="I130" s="169" t="s">
        <v>1738</v>
      </c>
      <c r="J130" s="171"/>
    </row>
    <row r="131" spans="1:10" ht="19.5" customHeight="1">
      <c r="A131" s="167" t="s">
        <v>1762</v>
      </c>
      <c r="B131" s="168" t="str">
        <f>RIGHT("a12035875",LEN("a12035875")-1)</f>
        <v>12035875</v>
      </c>
      <c r="C131" s="169" t="s">
        <v>1763</v>
      </c>
      <c r="D131" s="170">
        <v>31806</v>
      </c>
      <c r="E131" s="169" t="s">
        <v>1533</v>
      </c>
      <c r="F131" s="168">
        <f t="shared" si="2"/>
      </c>
      <c r="G131" s="169" t="s">
        <v>1534</v>
      </c>
      <c r="H131" s="169" t="s">
        <v>847</v>
      </c>
      <c r="I131" s="169" t="s">
        <v>1738</v>
      </c>
      <c r="J131" s="171"/>
    </row>
    <row r="132" spans="1:10" ht="19.5" customHeight="1">
      <c r="A132" s="167" t="s">
        <v>1764</v>
      </c>
      <c r="B132" s="168" t="str">
        <f>RIGHT("a12035868",LEN("a12035868")-1)</f>
        <v>12035868</v>
      </c>
      <c r="C132" s="169" t="s">
        <v>1765</v>
      </c>
      <c r="D132" s="170">
        <v>29019</v>
      </c>
      <c r="E132" s="169" t="s">
        <v>1533</v>
      </c>
      <c r="F132" s="168">
        <f t="shared" si="2"/>
      </c>
      <c r="G132" s="169" t="s">
        <v>1534</v>
      </c>
      <c r="H132" s="169" t="s">
        <v>847</v>
      </c>
      <c r="I132" s="169" t="s">
        <v>1738</v>
      </c>
      <c r="J132" s="171"/>
    </row>
    <row r="133" spans="1:10" ht="19.5" customHeight="1">
      <c r="A133" s="167" t="s">
        <v>1766</v>
      </c>
      <c r="B133" s="168" t="str">
        <f>RIGHT("a12035865",LEN("a12035865")-1)</f>
        <v>12035865</v>
      </c>
      <c r="C133" s="169" t="s">
        <v>1767</v>
      </c>
      <c r="D133" s="170">
        <v>28706</v>
      </c>
      <c r="E133" s="169" t="s">
        <v>1533</v>
      </c>
      <c r="F133" s="168">
        <f t="shared" si="2"/>
      </c>
      <c r="G133" s="169" t="s">
        <v>1534</v>
      </c>
      <c r="H133" s="169" t="s">
        <v>847</v>
      </c>
      <c r="I133" s="169" t="s">
        <v>1738</v>
      </c>
      <c r="J133" s="171"/>
    </row>
    <row r="134" spans="1:10" ht="19.5" customHeight="1">
      <c r="A134" s="167" t="s">
        <v>1768</v>
      </c>
      <c r="B134" s="168" t="str">
        <f>RIGHT("a12035879",LEN("a12035879")-1)</f>
        <v>12035879</v>
      </c>
      <c r="C134" s="169" t="s">
        <v>1769</v>
      </c>
      <c r="D134" s="170">
        <v>27997</v>
      </c>
      <c r="E134" s="169" t="s">
        <v>1533</v>
      </c>
      <c r="F134" s="168">
        <f t="shared" si="2"/>
      </c>
      <c r="G134" s="169" t="s">
        <v>1534</v>
      </c>
      <c r="H134" s="169" t="s">
        <v>847</v>
      </c>
      <c r="I134" s="169" t="s">
        <v>1738</v>
      </c>
      <c r="J134" s="171"/>
    </row>
    <row r="135" spans="1:10" ht="19.5" customHeight="1">
      <c r="A135" s="167" t="s">
        <v>1770</v>
      </c>
      <c r="B135" s="168" t="str">
        <f>RIGHT("a12035891",LEN("a12035891")-1)</f>
        <v>12035891</v>
      </c>
      <c r="C135" s="169" t="s">
        <v>1771</v>
      </c>
      <c r="D135" s="170">
        <v>31169</v>
      </c>
      <c r="E135" s="169" t="s">
        <v>95</v>
      </c>
      <c r="F135" s="168">
        <f t="shared" si="2"/>
      </c>
      <c r="G135" s="169" t="s">
        <v>1534</v>
      </c>
      <c r="H135" s="169" t="s">
        <v>847</v>
      </c>
      <c r="I135" s="169" t="s">
        <v>1738</v>
      </c>
      <c r="J135" s="171"/>
    </row>
    <row r="136" spans="1:10" ht="19.5" customHeight="1">
      <c r="A136" s="167" t="s">
        <v>1772</v>
      </c>
      <c r="B136" s="168" t="str">
        <f>RIGHT("a12035870",LEN("a12035870")-1)</f>
        <v>12035870</v>
      </c>
      <c r="C136" s="169" t="s">
        <v>1773</v>
      </c>
      <c r="D136" s="170">
        <v>30199</v>
      </c>
      <c r="E136" s="169" t="s">
        <v>95</v>
      </c>
      <c r="F136" s="168">
        <f t="shared" si="2"/>
      </c>
      <c r="G136" s="169" t="s">
        <v>1534</v>
      </c>
      <c r="H136" s="169" t="s">
        <v>847</v>
      </c>
      <c r="I136" s="169" t="s">
        <v>1738</v>
      </c>
      <c r="J136" s="171"/>
    </row>
    <row r="137" spans="1:10" ht="19.5" customHeight="1">
      <c r="A137" s="167" t="s">
        <v>1774</v>
      </c>
      <c r="B137" s="168" t="str">
        <f>RIGHT("a12035893",LEN("a12035893")-1)</f>
        <v>12035893</v>
      </c>
      <c r="C137" s="169" t="s">
        <v>1775</v>
      </c>
      <c r="D137" s="170">
        <v>27843</v>
      </c>
      <c r="E137" s="169" t="s">
        <v>95</v>
      </c>
      <c r="F137" s="168">
        <f t="shared" si="2"/>
      </c>
      <c r="G137" s="169" t="s">
        <v>1534</v>
      </c>
      <c r="H137" s="169" t="s">
        <v>847</v>
      </c>
      <c r="I137" s="169" t="s">
        <v>1738</v>
      </c>
      <c r="J137" s="171"/>
    </row>
    <row r="138" spans="1:10" ht="19.5" customHeight="1">
      <c r="A138" s="167" t="s">
        <v>1776</v>
      </c>
      <c r="B138" s="168" t="str">
        <f>RIGHT("a12035886",LEN("a12035886")-1)</f>
        <v>12035886</v>
      </c>
      <c r="C138" s="169" t="s">
        <v>1777</v>
      </c>
      <c r="D138" s="170">
        <v>29616</v>
      </c>
      <c r="E138" s="169" t="s">
        <v>1533</v>
      </c>
      <c r="F138" s="168">
        <f t="shared" si="2"/>
      </c>
      <c r="G138" s="169" t="s">
        <v>1534</v>
      </c>
      <c r="H138" s="169" t="s">
        <v>847</v>
      </c>
      <c r="I138" s="169" t="s">
        <v>1738</v>
      </c>
      <c r="J138" s="171"/>
    </row>
    <row r="139" spans="1:10" ht="19.5" customHeight="1">
      <c r="A139" s="167" t="s">
        <v>1778</v>
      </c>
      <c r="B139" s="168" t="str">
        <f>RIGHT("a12035887",LEN("a12035887")-1)</f>
        <v>12035887</v>
      </c>
      <c r="C139" s="169" t="s">
        <v>1779</v>
      </c>
      <c r="D139" s="170">
        <v>26973</v>
      </c>
      <c r="E139" s="169" t="s">
        <v>1533</v>
      </c>
      <c r="F139" s="168">
        <f t="shared" si="2"/>
      </c>
      <c r="G139" s="169" t="s">
        <v>1534</v>
      </c>
      <c r="H139" s="169" t="s">
        <v>847</v>
      </c>
      <c r="I139" s="169" t="s">
        <v>1738</v>
      </c>
      <c r="J139" s="171"/>
    </row>
    <row r="140" spans="1:10" ht="19.5" customHeight="1">
      <c r="A140" s="167" t="s">
        <v>1780</v>
      </c>
      <c r="B140" s="168" t="str">
        <f>RIGHT("a12035871",LEN("a12035871")-1)</f>
        <v>12035871</v>
      </c>
      <c r="C140" s="169" t="s">
        <v>1781</v>
      </c>
      <c r="D140" s="170">
        <v>29961</v>
      </c>
      <c r="E140" s="169" t="s">
        <v>95</v>
      </c>
      <c r="F140" s="168">
        <f t="shared" si="2"/>
      </c>
      <c r="G140" s="169" t="s">
        <v>1534</v>
      </c>
      <c r="H140" s="169" t="s">
        <v>847</v>
      </c>
      <c r="I140" s="169" t="s">
        <v>1738</v>
      </c>
      <c r="J140" s="171"/>
    </row>
    <row r="141" spans="1:10" ht="19.5" customHeight="1">
      <c r="A141" s="167" t="s">
        <v>1782</v>
      </c>
      <c r="B141" s="168" t="str">
        <f>RIGHT("a12035888",LEN("a12035888")-1)</f>
        <v>12035888</v>
      </c>
      <c r="C141" s="169" t="s">
        <v>1783</v>
      </c>
      <c r="D141" s="170">
        <v>30977</v>
      </c>
      <c r="E141" s="169" t="s">
        <v>95</v>
      </c>
      <c r="F141" s="168">
        <f t="shared" si="2"/>
      </c>
      <c r="G141" s="169" t="s">
        <v>1534</v>
      </c>
      <c r="H141" s="169" t="s">
        <v>847</v>
      </c>
      <c r="I141" s="169" t="s">
        <v>1738</v>
      </c>
      <c r="J141" s="171"/>
    </row>
    <row r="142" spans="1:10" ht="19.5" customHeight="1">
      <c r="A142" s="167" t="s">
        <v>1784</v>
      </c>
      <c r="B142" s="168" t="str">
        <f>RIGHT("a12035894",LEN("a12035894")-1)</f>
        <v>12035894</v>
      </c>
      <c r="C142" s="169" t="s">
        <v>1785</v>
      </c>
      <c r="D142" s="170">
        <v>31448</v>
      </c>
      <c r="E142" s="169" t="s">
        <v>95</v>
      </c>
      <c r="F142" s="168">
        <f t="shared" si="2"/>
      </c>
      <c r="G142" s="169" t="s">
        <v>1534</v>
      </c>
      <c r="H142" s="169" t="s">
        <v>847</v>
      </c>
      <c r="I142" s="169" t="s">
        <v>1738</v>
      </c>
      <c r="J142" s="171"/>
    </row>
    <row r="143" spans="1:10" ht="19.5" customHeight="1">
      <c r="A143" s="167" t="s">
        <v>1786</v>
      </c>
      <c r="B143" s="168" t="str">
        <f>RIGHT("a12035876",LEN("a12035876")-1)</f>
        <v>12035876</v>
      </c>
      <c r="C143" s="169" t="s">
        <v>1787</v>
      </c>
      <c r="D143" s="170">
        <v>29298</v>
      </c>
      <c r="E143" s="169" t="s">
        <v>1533</v>
      </c>
      <c r="F143" s="168">
        <f t="shared" si="2"/>
      </c>
      <c r="G143" s="169" t="s">
        <v>1534</v>
      </c>
      <c r="H143" s="169" t="s">
        <v>847</v>
      </c>
      <c r="I143" s="169" t="s">
        <v>1738</v>
      </c>
      <c r="J143" s="171"/>
    </row>
    <row r="144" spans="1:10" ht="19.5" customHeight="1">
      <c r="A144" s="167" t="s">
        <v>1788</v>
      </c>
      <c r="B144" s="168" t="str">
        <f>RIGHT("a12035866",LEN("a12035866")-1)</f>
        <v>12035866</v>
      </c>
      <c r="C144" s="169" t="s">
        <v>1789</v>
      </c>
      <c r="D144" s="170">
        <v>30030</v>
      </c>
      <c r="E144" s="169" t="s">
        <v>1533</v>
      </c>
      <c r="F144" s="168">
        <f t="shared" si="2"/>
      </c>
      <c r="G144" s="169" t="s">
        <v>1534</v>
      </c>
      <c r="H144" s="169" t="s">
        <v>847</v>
      </c>
      <c r="I144" s="169" t="s">
        <v>1738</v>
      </c>
      <c r="J144" s="171"/>
    </row>
    <row r="145" spans="1:10" ht="19.5" customHeight="1">
      <c r="A145" s="167" t="s">
        <v>1790</v>
      </c>
      <c r="B145" s="168" t="str">
        <f>RIGHT("a12035872",LEN("a12035872")-1)</f>
        <v>12035872</v>
      </c>
      <c r="C145" s="169" t="s">
        <v>1791</v>
      </c>
      <c r="D145" s="170">
        <v>22167</v>
      </c>
      <c r="E145" s="169" t="s">
        <v>95</v>
      </c>
      <c r="F145" s="168">
        <f t="shared" si="2"/>
      </c>
      <c r="G145" s="169" t="s">
        <v>1534</v>
      </c>
      <c r="H145" s="169" t="s">
        <v>847</v>
      </c>
      <c r="I145" s="169" t="s">
        <v>1738</v>
      </c>
      <c r="J145" s="171"/>
    </row>
    <row r="146" spans="1:10" ht="19.5" customHeight="1">
      <c r="A146" s="167" t="s">
        <v>1792</v>
      </c>
      <c r="B146" s="168" t="str">
        <f>RIGHT("a12035880",LEN("a12035880")-1)</f>
        <v>12035880</v>
      </c>
      <c r="C146" s="169" t="s">
        <v>1793</v>
      </c>
      <c r="D146" s="170">
        <v>26787</v>
      </c>
      <c r="E146" s="169" t="s">
        <v>95</v>
      </c>
      <c r="F146" s="168">
        <f t="shared" si="2"/>
      </c>
      <c r="G146" s="169" t="s">
        <v>1534</v>
      </c>
      <c r="H146" s="169" t="s">
        <v>847</v>
      </c>
      <c r="I146" s="169" t="s">
        <v>1738</v>
      </c>
      <c r="J146" s="171"/>
    </row>
    <row r="147" spans="1:10" ht="19.5" customHeight="1">
      <c r="A147" s="167" t="s">
        <v>1794</v>
      </c>
      <c r="B147" s="168" t="str">
        <f>RIGHT("a12035889",LEN("a12035889")-1)</f>
        <v>12035889</v>
      </c>
      <c r="C147" s="169" t="s">
        <v>1795</v>
      </c>
      <c r="D147" s="170">
        <v>25294</v>
      </c>
      <c r="E147" s="169" t="s">
        <v>95</v>
      </c>
      <c r="F147" s="168">
        <f t="shared" si="2"/>
      </c>
      <c r="G147" s="169" t="s">
        <v>1534</v>
      </c>
      <c r="H147" s="169" t="s">
        <v>847</v>
      </c>
      <c r="I147" s="169" t="s">
        <v>1738</v>
      </c>
      <c r="J147" s="171"/>
    </row>
    <row r="148" spans="1:10" ht="19.5" customHeight="1">
      <c r="A148" s="167" t="s">
        <v>1796</v>
      </c>
      <c r="B148" s="168" t="str">
        <f>RIGHT("a12035873",LEN("a12035873")-1)</f>
        <v>12035873</v>
      </c>
      <c r="C148" s="169" t="s">
        <v>1797</v>
      </c>
      <c r="D148" s="170">
        <v>28045</v>
      </c>
      <c r="E148" s="169" t="s">
        <v>1533</v>
      </c>
      <c r="F148" s="168">
        <f t="shared" si="2"/>
      </c>
      <c r="G148" s="169" t="s">
        <v>1534</v>
      </c>
      <c r="H148" s="169" t="s">
        <v>847</v>
      </c>
      <c r="I148" s="169" t="s">
        <v>1738</v>
      </c>
      <c r="J148" s="171"/>
    </row>
    <row r="149" spans="1:10" ht="19.5" customHeight="1">
      <c r="A149" s="167" t="s">
        <v>1798</v>
      </c>
      <c r="B149" s="168" t="str">
        <f>RIGHT("a12035323",LEN("a12035323")-1)</f>
        <v>12035323</v>
      </c>
      <c r="C149" s="169" t="s">
        <v>1799</v>
      </c>
      <c r="D149" s="170">
        <v>32445</v>
      </c>
      <c r="E149" s="169" t="s">
        <v>1533</v>
      </c>
      <c r="F149" s="168">
        <f t="shared" si="2"/>
      </c>
      <c r="G149" s="169" t="s">
        <v>1534</v>
      </c>
      <c r="H149" s="169" t="s">
        <v>1800</v>
      </c>
      <c r="I149" s="169" t="s">
        <v>1801</v>
      </c>
      <c r="J149" s="171"/>
    </row>
    <row r="150" spans="1:10" ht="19.5" customHeight="1">
      <c r="A150" s="167" t="s">
        <v>1802</v>
      </c>
      <c r="B150" s="168" t="str">
        <f>RIGHT("a12035035",LEN("a12035035")-1)</f>
        <v>12035035</v>
      </c>
      <c r="C150" s="169" t="s">
        <v>1803</v>
      </c>
      <c r="D150" s="170">
        <v>32504</v>
      </c>
      <c r="E150" s="169" t="s">
        <v>1533</v>
      </c>
      <c r="F150" s="168">
        <f t="shared" si="2"/>
      </c>
      <c r="G150" s="169" t="s">
        <v>1534</v>
      </c>
      <c r="H150" s="169" t="s">
        <v>1800</v>
      </c>
      <c r="I150" s="169" t="s">
        <v>1801</v>
      </c>
      <c r="J150" s="171"/>
    </row>
    <row r="151" spans="1:10" ht="19.5" customHeight="1">
      <c r="A151" s="167" t="s">
        <v>1804</v>
      </c>
      <c r="B151" s="168" t="str">
        <f>RIGHT("a12035036",LEN("a12035036")-1)</f>
        <v>12035036</v>
      </c>
      <c r="C151" s="169" t="s">
        <v>1805</v>
      </c>
      <c r="D151" s="170">
        <v>32747</v>
      </c>
      <c r="E151" s="169" t="s">
        <v>1533</v>
      </c>
      <c r="F151" s="168">
        <f t="shared" si="2"/>
      </c>
      <c r="G151" s="169" t="s">
        <v>1534</v>
      </c>
      <c r="H151" s="169" t="s">
        <v>1800</v>
      </c>
      <c r="I151" s="169" t="s">
        <v>1801</v>
      </c>
      <c r="J151" s="171"/>
    </row>
    <row r="152" spans="1:10" ht="19.5" customHeight="1">
      <c r="A152" s="167" t="s">
        <v>1806</v>
      </c>
      <c r="B152" s="168" t="str">
        <f>RIGHT("a12035034",LEN("a12035034")-1)</f>
        <v>12035034</v>
      </c>
      <c r="C152" s="169" t="s">
        <v>1807</v>
      </c>
      <c r="D152" s="170">
        <v>32176</v>
      </c>
      <c r="E152" s="169" t="s">
        <v>1533</v>
      </c>
      <c r="F152" s="168">
        <f t="shared" si="2"/>
      </c>
      <c r="G152" s="169" t="s">
        <v>1534</v>
      </c>
      <c r="H152" s="169" t="s">
        <v>1800</v>
      </c>
      <c r="I152" s="169" t="s">
        <v>1801</v>
      </c>
      <c r="J152" s="171"/>
    </row>
    <row r="153" spans="1:10" ht="19.5" customHeight="1">
      <c r="A153" s="167" t="s">
        <v>1808</v>
      </c>
      <c r="B153" s="168" t="str">
        <f>RIGHT("a12035339",LEN("a12035339")-1)</f>
        <v>12035339</v>
      </c>
      <c r="C153" s="169" t="s">
        <v>1460</v>
      </c>
      <c r="D153" s="170">
        <v>33018</v>
      </c>
      <c r="E153" s="169" t="s">
        <v>1533</v>
      </c>
      <c r="F153" s="168">
        <f t="shared" si="2"/>
      </c>
      <c r="G153" s="169" t="s">
        <v>1534</v>
      </c>
      <c r="H153" s="169" t="s">
        <v>1800</v>
      </c>
      <c r="I153" s="169" t="s">
        <v>1801</v>
      </c>
      <c r="J153" s="171"/>
    </row>
    <row r="154" spans="1:10" ht="19.5" customHeight="1">
      <c r="A154" s="167" t="s">
        <v>1809</v>
      </c>
      <c r="B154" s="168" t="str">
        <f>RIGHT("a12035324",LEN("a12035324")-1)</f>
        <v>12035324</v>
      </c>
      <c r="C154" s="169" t="s">
        <v>1810</v>
      </c>
      <c r="D154" s="170">
        <v>32845</v>
      </c>
      <c r="E154" s="169" t="s">
        <v>1533</v>
      </c>
      <c r="F154" s="168">
        <f t="shared" si="2"/>
      </c>
      <c r="G154" s="169" t="s">
        <v>1534</v>
      </c>
      <c r="H154" s="169" t="s">
        <v>1800</v>
      </c>
      <c r="I154" s="169" t="s">
        <v>1801</v>
      </c>
      <c r="J154" s="171"/>
    </row>
    <row r="155" spans="1:10" ht="19.5" customHeight="1">
      <c r="A155" s="167" t="s">
        <v>1811</v>
      </c>
      <c r="B155" s="168" t="str">
        <f>RIGHT("a12035310",LEN("a12035310")-1)</f>
        <v>12035310</v>
      </c>
      <c r="C155" s="169" t="s">
        <v>1812</v>
      </c>
      <c r="D155" s="170">
        <v>32952</v>
      </c>
      <c r="E155" s="169" t="s">
        <v>1533</v>
      </c>
      <c r="F155" s="168">
        <f t="shared" si="2"/>
      </c>
      <c r="G155" s="169" t="s">
        <v>1534</v>
      </c>
      <c r="H155" s="169" t="s">
        <v>1800</v>
      </c>
      <c r="I155" s="169" t="s">
        <v>1801</v>
      </c>
      <c r="J155" s="171"/>
    </row>
    <row r="156" spans="1:10" ht="19.5" customHeight="1">
      <c r="A156" s="167" t="s">
        <v>1813</v>
      </c>
      <c r="B156" s="168" t="str">
        <f>RIGHT("a12035341",LEN("a12035341")-1)</f>
        <v>12035341</v>
      </c>
      <c r="C156" s="169" t="s">
        <v>1814</v>
      </c>
      <c r="D156" s="170">
        <v>31929</v>
      </c>
      <c r="E156" s="169" t="s">
        <v>1533</v>
      </c>
      <c r="F156" s="168">
        <f t="shared" si="2"/>
      </c>
      <c r="G156" s="169" t="s">
        <v>1534</v>
      </c>
      <c r="H156" s="169" t="s">
        <v>1800</v>
      </c>
      <c r="I156" s="169" t="s">
        <v>1801</v>
      </c>
      <c r="J156" s="171"/>
    </row>
    <row r="157" spans="1:10" ht="19.5" customHeight="1">
      <c r="A157" s="167" t="s">
        <v>1815</v>
      </c>
      <c r="B157" s="168" t="str">
        <f>RIGHT("a12035345",LEN("a12035345")-1)</f>
        <v>12035345</v>
      </c>
      <c r="C157" s="169" t="s">
        <v>1816</v>
      </c>
      <c r="D157" s="170">
        <v>32409</v>
      </c>
      <c r="E157" s="169" t="s">
        <v>95</v>
      </c>
      <c r="F157" s="168">
        <f t="shared" si="2"/>
      </c>
      <c r="G157" s="169" t="s">
        <v>1534</v>
      </c>
      <c r="H157" s="169" t="s">
        <v>1800</v>
      </c>
      <c r="I157" s="169" t="s">
        <v>1801</v>
      </c>
      <c r="J157" s="171"/>
    </row>
    <row r="158" spans="1:10" ht="19.5" customHeight="1">
      <c r="A158" s="167" t="s">
        <v>1817</v>
      </c>
      <c r="B158" s="168" t="str">
        <f>RIGHT("a12035037",LEN("a12035037")-1)</f>
        <v>12035037</v>
      </c>
      <c r="C158" s="169" t="s">
        <v>1818</v>
      </c>
      <c r="D158" s="170">
        <v>32664</v>
      </c>
      <c r="E158" s="169" t="s">
        <v>1533</v>
      </c>
      <c r="F158" s="168">
        <f t="shared" si="2"/>
      </c>
      <c r="G158" s="169" t="s">
        <v>1534</v>
      </c>
      <c r="H158" s="169" t="s">
        <v>1800</v>
      </c>
      <c r="I158" s="169" t="s">
        <v>1801</v>
      </c>
      <c r="J158" s="171"/>
    </row>
    <row r="159" spans="1:10" ht="19.5" customHeight="1">
      <c r="A159" s="167" t="s">
        <v>1819</v>
      </c>
      <c r="B159" s="168" t="str">
        <f>RIGHT("a12035038",LEN("a12035038")-1)</f>
        <v>12035038</v>
      </c>
      <c r="C159" s="169" t="s">
        <v>1820</v>
      </c>
      <c r="D159" s="170">
        <v>32256</v>
      </c>
      <c r="E159" s="169" t="s">
        <v>1533</v>
      </c>
      <c r="F159" s="168">
        <f t="shared" si="2"/>
      </c>
      <c r="G159" s="169" t="s">
        <v>1534</v>
      </c>
      <c r="H159" s="169" t="s">
        <v>1800</v>
      </c>
      <c r="I159" s="169" t="s">
        <v>1801</v>
      </c>
      <c r="J159" s="171"/>
    </row>
    <row r="160" spans="1:10" ht="19.5" customHeight="1">
      <c r="A160" s="167" t="s">
        <v>1821</v>
      </c>
      <c r="B160" s="168" t="str">
        <f>RIGHT("a12035317",LEN("a12035317")-1)</f>
        <v>12035317</v>
      </c>
      <c r="C160" s="169" t="s">
        <v>1822</v>
      </c>
      <c r="D160" s="170">
        <v>33012</v>
      </c>
      <c r="E160" s="169" t="s">
        <v>1533</v>
      </c>
      <c r="F160" s="168">
        <f t="shared" si="2"/>
      </c>
      <c r="G160" s="169" t="s">
        <v>1534</v>
      </c>
      <c r="H160" s="169" t="s">
        <v>1800</v>
      </c>
      <c r="I160" s="169" t="s">
        <v>1801</v>
      </c>
      <c r="J160" s="171"/>
    </row>
    <row r="161" spans="1:10" ht="19.5" customHeight="1">
      <c r="A161" s="167" t="s">
        <v>1823</v>
      </c>
      <c r="B161" s="168" t="str">
        <f>RIGHT("a12035315",LEN("a12035315")-1)</f>
        <v>12035315</v>
      </c>
      <c r="C161" s="169" t="s">
        <v>1824</v>
      </c>
      <c r="D161" s="170">
        <v>31724</v>
      </c>
      <c r="E161" s="169" t="s">
        <v>95</v>
      </c>
      <c r="F161" s="168">
        <f t="shared" si="2"/>
      </c>
      <c r="G161" s="169" t="s">
        <v>1534</v>
      </c>
      <c r="H161" s="169" t="s">
        <v>1800</v>
      </c>
      <c r="I161" s="169" t="s">
        <v>1801</v>
      </c>
      <c r="J161" s="171"/>
    </row>
    <row r="162" spans="1:10" ht="19.5" customHeight="1">
      <c r="A162" s="167" t="s">
        <v>1825</v>
      </c>
      <c r="B162" s="168" t="str">
        <f>RIGHT("a12035325",LEN("a12035325")-1)</f>
        <v>12035325</v>
      </c>
      <c r="C162" s="169" t="s">
        <v>1826</v>
      </c>
      <c r="D162" s="170">
        <v>33044</v>
      </c>
      <c r="E162" s="169" t="s">
        <v>1533</v>
      </c>
      <c r="F162" s="168">
        <f t="shared" si="2"/>
      </c>
      <c r="G162" s="169" t="s">
        <v>1534</v>
      </c>
      <c r="H162" s="169" t="s">
        <v>1800</v>
      </c>
      <c r="I162" s="169" t="s">
        <v>1801</v>
      </c>
      <c r="J162" s="171"/>
    </row>
    <row r="163" spans="1:10" ht="19.5" customHeight="1">
      <c r="A163" s="167" t="s">
        <v>1827</v>
      </c>
      <c r="B163" s="168" t="str">
        <f>RIGHT("a12035311",LEN("a12035311")-1)</f>
        <v>12035311</v>
      </c>
      <c r="C163" s="169" t="s">
        <v>1828</v>
      </c>
      <c r="D163" s="170">
        <v>32799</v>
      </c>
      <c r="E163" s="169" t="s">
        <v>1533</v>
      </c>
      <c r="F163" s="168">
        <f t="shared" si="2"/>
      </c>
      <c r="G163" s="169" t="s">
        <v>1534</v>
      </c>
      <c r="H163" s="169" t="s">
        <v>1800</v>
      </c>
      <c r="I163" s="169" t="s">
        <v>1801</v>
      </c>
      <c r="J163" s="171"/>
    </row>
    <row r="164" spans="1:10" ht="19.5" customHeight="1">
      <c r="A164" s="167" t="s">
        <v>1829</v>
      </c>
      <c r="B164" s="168" t="str">
        <f>RIGHT("a12035326",LEN("a12035326")-1)</f>
        <v>12035326</v>
      </c>
      <c r="C164" s="169" t="s">
        <v>1830</v>
      </c>
      <c r="D164" s="170">
        <v>32094</v>
      </c>
      <c r="E164" s="169" t="s">
        <v>1533</v>
      </c>
      <c r="F164" s="168">
        <f t="shared" si="2"/>
      </c>
      <c r="G164" s="169" t="s">
        <v>1534</v>
      </c>
      <c r="H164" s="169" t="s">
        <v>1800</v>
      </c>
      <c r="I164" s="169" t="s">
        <v>1801</v>
      </c>
      <c r="J164" s="171"/>
    </row>
    <row r="165" spans="1:10" ht="19.5" customHeight="1">
      <c r="A165" s="167" t="s">
        <v>1831</v>
      </c>
      <c r="B165" s="168" t="str">
        <f>RIGHT("a12035316",LEN("a12035316")-1)</f>
        <v>12035316</v>
      </c>
      <c r="C165" s="169" t="s">
        <v>1832</v>
      </c>
      <c r="D165" s="170">
        <v>32927</v>
      </c>
      <c r="E165" s="169" t="s">
        <v>1533</v>
      </c>
      <c r="F165" s="168">
        <f t="shared" si="2"/>
      </c>
      <c r="G165" s="169" t="s">
        <v>1534</v>
      </c>
      <c r="H165" s="169" t="s">
        <v>1800</v>
      </c>
      <c r="I165" s="169" t="s">
        <v>1801</v>
      </c>
      <c r="J165" s="171"/>
    </row>
    <row r="166" spans="1:10" ht="19.5" customHeight="1">
      <c r="A166" s="167" t="s">
        <v>1833</v>
      </c>
      <c r="B166" s="168" t="str">
        <f>RIGHT("a12035039",LEN("a12035039")-1)</f>
        <v>12035039</v>
      </c>
      <c r="C166" s="169" t="s">
        <v>1834</v>
      </c>
      <c r="D166" s="170">
        <v>32504</v>
      </c>
      <c r="E166" s="169" t="s">
        <v>95</v>
      </c>
      <c r="F166" s="168">
        <f t="shared" si="2"/>
      </c>
      <c r="G166" s="169" t="s">
        <v>1534</v>
      </c>
      <c r="H166" s="169" t="s">
        <v>1800</v>
      </c>
      <c r="I166" s="169" t="s">
        <v>1801</v>
      </c>
      <c r="J166" s="171"/>
    </row>
    <row r="167" spans="1:10" ht="19.5" customHeight="1">
      <c r="A167" s="167" t="s">
        <v>1835</v>
      </c>
      <c r="B167" s="168" t="str">
        <f>RIGHT("a12035040",LEN("a12035040")-1)</f>
        <v>12035040</v>
      </c>
      <c r="C167" s="169" t="s">
        <v>1836</v>
      </c>
      <c r="D167" s="170">
        <v>30346</v>
      </c>
      <c r="E167" s="169" t="s">
        <v>1533</v>
      </c>
      <c r="F167" s="168">
        <f t="shared" si="2"/>
      </c>
      <c r="G167" s="169" t="s">
        <v>1534</v>
      </c>
      <c r="H167" s="169" t="s">
        <v>1800</v>
      </c>
      <c r="I167" s="169" t="s">
        <v>1801</v>
      </c>
      <c r="J167" s="171"/>
    </row>
    <row r="168" spans="1:10" ht="19.5" customHeight="1">
      <c r="A168" s="167" t="s">
        <v>1837</v>
      </c>
      <c r="B168" s="168" t="str">
        <f>RIGHT("a12035041",LEN("a12035041")-1)</f>
        <v>12035041</v>
      </c>
      <c r="C168" s="169" t="s">
        <v>1838</v>
      </c>
      <c r="D168" s="170">
        <v>32350</v>
      </c>
      <c r="E168" s="169" t="s">
        <v>1533</v>
      </c>
      <c r="F168" s="168">
        <f t="shared" si="2"/>
      </c>
      <c r="G168" s="169" t="s">
        <v>1534</v>
      </c>
      <c r="H168" s="169" t="s">
        <v>1800</v>
      </c>
      <c r="I168" s="169" t="s">
        <v>1801</v>
      </c>
      <c r="J168" s="171"/>
    </row>
    <row r="169" spans="1:10" ht="19.5" customHeight="1">
      <c r="A169" s="167" t="s">
        <v>1839</v>
      </c>
      <c r="B169" s="168" t="str">
        <f>RIGHT("a12035342",LEN("a12035342")-1)</f>
        <v>12035342</v>
      </c>
      <c r="C169" s="169" t="s">
        <v>1468</v>
      </c>
      <c r="D169" s="170">
        <v>33107</v>
      </c>
      <c r="E169" s="169" t="s">
        <v>1533</v>
      </c>
      <c r="F169" s="168">
        <f t="shared" si="2"/>
      </c>
      <c r="G169" s="169" t="s">
        <v>1534</v>
      </c>
      <c r="H169" s="169" t="s">
        <v>1800</v>
      </c>
      <c r="I169" s="169" t="s">
        <v>1801</v>
      </c>
      <c r="J169" s="171"/>
    </row>
    <row r="170" spans="1:10" ht="19.5" customHeight="1">
      <c r="A170" s="167" t="s">
        <v>1840</v>
      </c>
      <c r="B170" s="168" t="str">
        <f>RIGHT("a12035327",LEN("a12035327")-1)</f>
        <v>12035327</v>
      </c>
      <c r="C170" s="169" t="s">
        <v>1841</v>
      </c>
      <c r="D170" s="170">
        <v>31966</v>
      </c>
      <c r="E170" s="169" t="s">
        <v>1533</v>
      </c>
      <c r="F170" s="168">
        <f t="shared" si="2"/>
      </c>
      <c r="G170" s="169" t="s">
        <v>1534</v>
      </c>
      <c r="H170" s="169" t="s">
        <v>1800</v>
      </c>
      <c r="I170" s="169" t="s">
        <v>1801</v>
      </c>
      <c r="J170" s="171"/>
    </row>
    <row r="171" spans="1:10" ht="19.5" customHeight="1">
      <c r="A171" s="167" t="s">
        <v>1842</v>
      </c>
      <c r="B171" s="168" t="str">
        <f>RIGHT("a12035304",LEN("a12035304")-1)</f>
        <v>12035304</v>
      </c>
      <c r="C171" s="169" t="s">
        <v>1843</v>
      </c>
      <c r="D171" s="170">
        <v>32898</v>
      </c>
      <c r="E171" s="169" t="s">
        <v>1533</v>
      </c>
      <c r="F171" s="168">
        <f t="shared" si="2"/>
      </c>
      <c r="G171" s="169" t="s">
        <v>1534</v>
      </c>
      <c r="H171" s="169" t="s">
        <v>1800</v>
      </c>
      <c r="I171" s="169" t="s">
        <v>1801</v>
      </c>
      <c r="J171" s="171"/>
    </row>
    <row r="172" spans="1:10" ht="19.5" customHeight="1">
      <c r="A172" s="167" t="s">
        <v>1844</v>
      </c>
      <c r="B172" s="168" t="str">
        <f>RIGHT("a12035340",LEN("a12035340")-1)</f>
        <v>12035340</v>
      </c>
      <c r="C172" s="169" t="s">
        <v>1845</v>
      </c>
      <c r="D172" s="170">
        <v>32827</v>
      </c>
      <c r="E172" s="169" t="s">
        <v>1533</v>
      </c>
      <c r="F172" s="168">
        <f t="shared" si="2"/>
      </c>
      <c r="G172" s="169" t="s">
        <v>1534</v>
      </c>
      <c r="H172" s="169" t="s">
        <v>1800</v>
      </c>
      <c r="I172" s="169" t="s">
        <v>1801</v>
      </c>
      <c r="J172" s="171"/>
    </row>
    <row r="173" spans="1:10" ht="19.5" customHeight="1">
      <c r="A173" s="167" t="s">
        <v>1846</v>
      </c>
      <c r="B173" s="168" t="str">
        <f>RIGHT("a12035042",LEN("a12035042")-1)</f>
        <v>12035042</v>
      </c>
      <c r="C173" s="169" t="s">
        <v>1847</v>
      </c>
      <c r="D173" s="170">
        <v>32657</v>
      </c>
      <c r="E173" s="169" t="s">
        <v>1533</v>
      </c>
      <c r="F173" s="168">
        <f t="shared" si="2"/>
      </c>
      <c r="G173" s="169" t="s">
        <v>1534</v>
      </c>
      <c r="H173" s="169" t="s">
        <v>1800</v>
      </c>
      <c r="I173" s="169" t="s">
        <v>1801</v>
      </c>
      <c r="J173" s="171"/>
    </row>
    <row r="174" spans="1:10" ht="19.5" customHeight="1">
      <c r="A174" s="167" t="s">
        <v>1848</v>
      </c>
      <c r="B174" s="168" t="str">
        <f>RIGHT("a12035312",LEN("a12035312")-1)</f>
        <v>12035312</v>
      </c>
      <c r="C174" s="169" t="s">
        <v>1614</v>
      </c>
      <c r="D174" s="170">
        <v>33117</v>
      </c>
      <c r="E174" s="169" t="s">
        <v>1533</v>
      </c>
      <c r="F174" s="168">
        <f t="shared" si="2"/>
      </c>
      <c r="G174" s="169" t="s">
        <v>1534</v>
      </c>
      <c r="H174" s="169" t="s">
        <v>1800</v>
      </c>
      <c r="I174" s="169" t="s">
        <v>1801</v>
      </c>
      <c r="J174" s="171"/>
    </row>
    <row r="175" spans="1:10" ht="19.5" customHeight="1">
      <c r="A175" s="167" t="s">
        <v>1849</v>
      </c>
      <c r="B175" s="168" t="str">
        <f>RIGHT("a12035043",LEN("a12035043")-1)</f>
        <v>12035043</v>
      </c>
      <c r="C175" s="169" t="s">
        <v>1850</v>
      </c>
      <c r="D175" s="170">
        <v>32324</v>
      </c>
      <c r="E175" s="169" t="s">
        <v>1533</v>
      </c>
      <c r="F175" s="168">
        <f t="shared" si="2"/>
      </c>
      <c r="G175" s="169" t="s">
        <v>1534</v>
      </c>
      <c r="H175" s="169" t="s">
        <v>1800</v>
      </c>
      <c r="I175" s="169" t="s">
        <v>1801</v>
      </c>
      <c r="J175" s="171"/>
    </row>
    <row r="176" spans="1:10" ht="19.5" customHeight="1">
      <c r="A176" s="167" t="s">
        <v>1851</v>
      </c>
      <c r="B176" s="168" t="str">
        <f>RIGHT("a12035044",LEN("a12035044")-1)</f>
        <v>12035044</v>
      </c>
      <c r="C176" s="169" t="s">
        <v>1852</v>
      </c>
      <c r="D176" s="170">
        <v>32007</v>
      </c>
      <c r="E176" s="169" t="s">
        <v>1533</v>
      </c>
      <c r="F176" s="168">
        <f t="shared" si="2"/>
      </c>
      <c r="G176" s="169" t="s">
        <v>1534</v>
      </c>
      <c r="H176" s="169" t="s">
        <v>1800</v>
      </c>
      <c r="I176" s="169" t="s">
        <v>1801</v>
      </c>
      <c r="J176" s="171"/>
    </row>
    <row r="177" spans="1:10" ht="19.5" customHeight="1">
      <c r="A177" s="167" t="s">
        <v>1853</v>
      </c>
      <c r="B177" s="168" t="str">
        <f>RIGHT("a12035045",LEN("a12035045")-1)</f>
        <v>12035045</v>
      </c>
      <c r="C177" s="169" t="s">
        <v>1854</v>
      </c>
      <c r="D177" s="170">
        <v>29924</v>
      </c>
      <c r="E177" s="169" t="s">
        <v>95</v>
      </c>
      <c r="F177" s="168">
        <f t="shared" si="2"/>
      </c>
      <c r="G177" s="169" t="s">
        <v>1534</v>
      </c>
      <c r="H177" s="169" t="s">
        <v>1800</v>
      </c>
      <c r="I177" s="169" t="s">
        <v>1801</v>
      </c>
      <c r="J177" s="171"/>
    </row>
    <row r="178" spans="1:10" ht="19.5" customHeight="1">
      <c r="A178" s="167" t="s">
        <v>1855</v>
      </c>
      <c r="B178" s="168" t="str">
        <f>RIGHT("a12035046",LEN("a12035046")-1)</f>
        <v>12035046</v>
      </c>
      <c r="C178" s="169" t="s">
        <v>1856</v>
      </c>
      <c r="D178" s="170">
        <v>31422</v>
      </c>
      <c r="E178" s="169" t="s">
        <v>1533</v>
      </c>
      <c r="F178" s="168">
        <f t="shared" si="2"/>
      </c>
      <c r="G178" s="169" t="s">
        <v>1534</v>
      </c>
      <c r="H178" s="169" t="s">
        <v>1800</v>
      </c>
      <c r="I178" s="169" t="s">
        <v>1801</v>
      </c>
      <c r="J178" s="171"/>
    </row>
    <row r="179" spans="1:10" ht="19.5" customHeight="1">
      <c r="A179" s="167" t="s">
        <v>1857</v>
      </c>
      <c r="B179" s="168" t="str">
        <f>RIGHT("a12035049",LEN("a12035049")-1)</f>
        <v>12035049</v>
      </c>
      <c r="C179" s="169" t="s">
        <v>1858</v>
      </c>
      <c r="D179" s="170">
        <v>32694</v>
      </c>
      <c r="E179" s="169" t="s">
        <v>1533</v>
      </c>
      <c r="F179" s="168">
        <f t="shared" si="2"/>
      </c>
      <c r="G179" s="169" t="s">
        <v>1534</v>
      </c>
      <c r="H179" s="169" t="s">
        <v>1800</v>
      </c>
      <c r="I179" s="169" t="s">
        <v>1801</v>
      </c>
      <c r="J179" s="171"/>
    </row>
    <row r="180" spans="1:10" ht="19.5" customHeight="1">
      <c r="A180" s="167" t="s">
        <v>1859</v>
      </c>
      <c r="B180" s="168" t="str">
        <f>RIGHT("a12035048",LEN("a12035048")-1)</f>
        <v>12035048</v>
      </c>
      <c r="C180" s="169" t="s">
        <v>1860</v>
      </c>
      <c r="D180" s="170">
        <v>32467</v>
      </c>
      <c r="E180" s="169" t="s">
        <v>1533</v>
      </c>
      <c r="F180" s="168">
        <f t="shared" si="2"/>
      </c>
      <c r="G180" s="169" t="s">
        <v>1534</v>
      </c>
      <c r="H180" s="169" t="s">
        <v>1800</v>
      </c>
      <c r="I180" s="169" t="s">
        <v>1801</v>
      </c>
      <c r="J180" s="171"/>
    </row>
    <row r="181" spans="1:10" ht="19.5" customHeight="1">
      <c r="A181" s="167" t="s">
        <v>1861</v>
      </c>
      <c r="B181" s="168" t="str">
        <f>RIGHT("a12035047",LEN("a12035047")-1)</f>
        <v>12035047</v>
      </c>
      <c r="C181" s="169" t="s">
        <v>1862</v>
      </c>
      <c r="D181" s="170">
        <v>32458</v>
      </c>
      <c r="E181" s="169" t="s">
        <v>1533</v>
      </c>
      <c r="F181" s="168">
        <f t="shared" si="2"/>
      </c>
      <c r="G181" s="169" t="s">
        <v>1534</v>
      </c>
      <c r="H181" s="169" t="s">
        <v>1800</v>
      </c>
      <c r="I181" s="169" t="s">
        <v>1801</v>
      </c>
      <c r="J181" s="171"/>
    </row>
    <row r="182" spans="1:10" ht="19.5" customHeight="1">
      <c r="A182" s="167" t="s">
        <v>1863</v>
      </c>
      <c r="B182" s="168" t="str">
        <f>RIGHT("a12035346",LEN("a12035346")-1)</f>
        <v>12035346</v>
      </c>
      <c r="C182" s="169" t="s">
        <v>266</v>
      </c>
      <c r="D182" s="170">
        <v>32065</v>
      </c>
      <c r="E182" s="169" t="s">
        <v>1533</v>
      </c>
      <c r="F182" s="168">
        <f t="shared" si="2"/>
      </c>
      <c r="G182" s="169" t="s">
        <v>1534</v>
      </c>
      <c r="H182" s="169" t="s">
        <v>1800</v>
      </c>
      <c r="I182" s="169" t="s">
        <v>1801</v>
      </c>
      <c r="J182" s="171"/>
    </row>
    <row r="183" spans="1:10" ht="19.5" customHeight="1">
      <c r="A183" s="167" t="s">
        <v>1864</v>
      </c>
      <c r="B183" s="168" t="str">
        <f>RIGHT("a12035303",LEN("a12035303")-1)</f>
        <v>12035303</v>
      </c>
      <c r="C183" s="169" t="s">
        <v>1865</v>
      </c>
      <c r="D183" s="170">
        <v>32505</v>
      </c>
      <c r="E183" s="169" t="s">
        <v>1533</v>
      </c>
      <c r="F183" s="168">
        <f t="shared" si="2"/>
      </c>
      <c r="G183" s="169" t="s">
        <v>1534</v>
      </c>
      <c r="H183" s="169" t="s">
        <v>1800</v>
      </c>
      <c r="I183" s="169" t="s">
        <v>1801</v>
      </c>
      <c r="J183" s="171"/>
    </row>
    <row r="184" spans="1:10" ht="19.5" customHeight="1">
      <c r="A184" s="167" t="s">
        <v>1866</v>
      </c>
      <c r="B184" s="168" t="str">
        <f>RIGHT("a12035051",LEN("a12035051")-1)</f>
        <v>12035051</v>
      </c>
      <c r="C184" s="169" t="s">
        <v>389</v>
      </c>
      <c r="D184" s="170">
        <v>32795</v>
      </c>
      <c r="E184" s="169" t="s">
        <v>1533</v>
      </c>
      <c r="F184" s="168">
        <f t="shared" si="2"/>
      </c>
      <c r="G184" s="169" t="s">
        <v>1534</v>
      </c>
      <c r="H184" s="169" t="s">
        <v>1800</v>
      </c>
      <c r="I184" s="169" t="s">
        <v>1801</v>
      </c>
      <c r="J184" s="171"/>
    </row>
    <row r="185" spans="1:10" ht="19.5" customHeight="1">
      <c r="A185" s="167" t="s">
        <v>1867</v>
      </c>
      <c r="B185" s="168" t="str">
        <f>RIGHT("a12035050",LEN("a12035050")-1)</f>
        <v>12035050</v>
      </c>
      <c r="C185" s="169" t="s">
        <v>236</v>
      </c>
      <c r="D185" s="170">
        <v>32394</v>
      </c>
      <c r="E185" s="169" t="s">
        <v>1533</v>
      </c>
      <c r="F185" s="168">
        <f t="shared" si="2"/>
      </c>
      <c r="G185" s="169" t="s">
        <v>1534</v>
      </c>
      <c r="H185" s="169" t="s">
        <v>1800</v>
      </c>
      <c r="I185" s="169" t="s">
        <v>1801</v>
      </c>
      <c r="J185" s="171"/>
    </row>
    <row r="186" spans="1:10" ht="19.5" customHeight="1">
      <c r="A186" s="167" t="s">
        <v>1868</v>
      </c>
      <c r="B186" s="168" t="str">
        <f>RIGHT("a12035353",LEN("a12035353")-1)</f>
        <v>12035353</v>
      </c>
      <c r="C186" s="169" t="s">
        <v>1869</v>
      </c>
      <c r="D186" s="170">
        <v>33055</v>
      </c>
      <c r="E186" s="169" t="s">
        <v>1533</v>
      </c>
      <c r="F186" s="168">
        <f t="shared" si="2"/>
      </c>
      <c r="G186" s="169" t="s">
        <v>1534</v>
      </c>
      <c r="H186" s="169" t="s">
        <v>1800</v>
      </c>
      <c r="I186" s="169" t="s">
        <v>1801</v>
      </c>
      <c r="J186" s="171"/>
    </row>
    <row r="187" spans="1:10" ht="19.5" customHeight="1">
      <c r="A187" s="167" t="s">
        <v>1870</v>
      </c>
      <c r="B187" s="168" t="str">
        <f>RIGHT("a12035052",LEN("a12035052")-1)</f>
        <v>12035052</v>
      </c>
      <c r="C187" s="169" t="s">
        <v>1871</v>
      </c>
      <c r="D187" s="170">
        <v>30800</v>
      </c>
      <c r="E187" s="169" t="s">
        <v>95</v>
      </c>
      <c r="F187" s="168">
        <f t="shared" si="2"/>
      </c>
      <c r="G187" s="169" t="s">
        <v>1534</v>
      </c>
      <c r="H187" s="169" t="s">
        <v>1800</v>
      </c>
      <c r="I187" s="169" t="s">
        <v>1801</v>
      </c>
      <c r="J187" s="171"/>
    </row>
    <row r="188" spans="1:10" ht="19.5" customHeight="1">
      <c r="A188" s="167" t="s">
        <v>1872</v>
      </c>
      <c r="B188" s="168" t="str">
        <f>RIGHT("a12035313",LEN("a12035313")-1)</f>
        <v>12035313</v>
      </c>
      <c r="C188" s="169" t="s">
        <v>1873</v>
      </c>
      <c r="D188" s="170">
        <v>33180</v>
      </c>
      <c r="E188" s="169" t="s">
        <v>1533</v>
      </c>
      <c r="F188" s="168">
        <f t="shared" si="2"/>
      </c>
      <c r="G188" s="169" t="s">
        <v>1534</v>
      </c>
      <c r="H188" s="169" t="s">
        <v>1800</v>
      </c>
      <c r="I188" s="169" t="s">
        <v>1801</v>
      </c>
      <c r="J188" s="171"/>
    </row>
    <row r="189" spans="1:10" ht="19.5" customHeight="1">
      <c r="A189" s="167" t="s">
        <v>1874</v>
      </c>
      <c r="B189" s="168" t="str">
        <f>RIGHT("a12035309",LEN("a12035309")-1)</f>
        <v>12035309</v>
      </c>
      <c r="C189" s="169" t="s">
        <v>1875</v>
      </c>
      <c r="D189" s="170">
        <v>25427</v>
      </c>
      <c r="E189" s="169" t="s">
        <v>95</v>
      </c>
      <c r="F189" s="168">
        <f t="shared" si="2"/>
      </c>
      <c r="G189" s="169" t="s">
        <v>1534</v>
      </c>
      <c r="H189" s="169" t="s">
        <v>1800</v>
      </c>
      <c r="I189" s="169" t="s">
        <v>1801</v>
      </c>
      <c r="J189" s="171"/>
    </row>
    <row r="190" spans="1:10" ht="19.5" customHeight="1">
      <c r="A190" s="167" t="s">
        <v>1876</v>
      </c>
      <c r="B190" s="168" t="str">
        <f>RIGHT("a12035053",LEN("a12035053")-1)</f>
        <v>12035053</v>
      </c>
      <c r="C190" s="169" t="s">
        <v>1877</v>
      </c>
      <c r="D190" s="170">
        <v>31913</v>
      </c>
      <c r="E190" s="169" t="s">
        <v>95</v>
      </c>
      <c r="F190" s="168">
        <f t="shared" si="2"/>
      </c>
      <c r="G190" s="169" t="s">
        <v>1534</v>
      </c>
      <c r="H190" s="169" t="s">
        <v>1800</v>
      </c>
      <c r="I190" s="169" t="s">
        <v>1801</v>
      </c>
      <c r="J190" s="171"/>
    </row>
    <row r="191" spans="1:10" ht="19.5" customHeight="1">
      <c r="A191" s="167" t="s">
        <v>1878</v>
      </c>
      <c r="B191" s="168" t="str">
        <f>RIGHT("a12035054",LEN("a12035054")-1)</f>
        <v>12035054</v>
      </c>
      <c r="C191" s="169" t="s">
        <v>1879</v>
      </c>
      <c r="D191" s="170">
        <v>32717</v>
      </c>
      <c r="E191" s="169" t="s">
        <v>1533</v>
      </c>
      <c r="F191" s="168">
        <f t="shared" si="2"/>
      </c>
      <c r="G191" s="169" t="s">
        <v>1534</v>
      </c>
      <c r="H191" s="169" t="s">
        <v>1800</v>
      </c>
      <c r="I191" s="169" t="s">
        <v>1801</v>
      </c>
      <c r="J191" s="171"/>
    </row>
    <row r="192" spans="1:10" ht="19.5" customHeight="1">
      <c r="A192" s="167" t="s">
        <v>1880</v>
      </c>
      <c r="B192" s="168" t="str">
        <f>RIGHT("a12035318",LEN("a12035318")-1)</f>
        <v>12035318</v>
      </c>
      <c r="C192" s="169" t="s">
        <v>1881</v>
      </c>
      <c r="D192" s="170">
        <v>31533</v>
      </c>
      <c r="E192" s="169" t="s">
        <v>1533</v>
      </c>
      <c r="F192" s="168">
        <f t="shared" si="2"/>
      </c>
      <c r="G192" s="169" t="s">
        <v>1534</v>
      </c>
      <c r="H192" s="169" t="s">
        <v>1800</v>
      </c>
      <c r="I192" s="169" t="s">
        <v>1801</v>
      </c>
      <c r="J192" s="171"/>
    </row>
    <row r="193" spans="1:10" ht="19.5" customHeight="1">
      <c r="A193" s="167" t="s">
        <v>1882</v>
      </c>
      <c r="B193" s="168" t="str">
        <f>RIGHT("a12035307",LEN("a12035307")-1)</f>
        <v>12035307</v>
      </c>
      <c r="C193" s="169" t="s">
        <v>1883</v>
      </c>
      <c r="D193" s="170">
        <v>30975</v>
      </c>
      <c r="E193" s="169" t="s">
        <v>1533</v>
      </c>
      <c r="F193" s="168">
        <f t="shared" si="2"/>
      </c>
      <c r="G193" s="169" t="s">
        <v>1534</v>
      </c>
      <c r="H193" s="169" t="s">
        <v>1800</v>
      </c>
      <c r="I193" s="169" t="s">
        <v>1801</v>
      </c>
      <c r="J193" s="171"/>
    </row>
    <row r="194" spans="1:10" ht="19.5" customHeight="1">
      <c r="A194" s="167" t="s">
        <v>1884</v>
      </c>
      <c r="B194" s="168" t="str">
        <f>RIGHT("a12035055",LEN("a12035055")-1)</f>
        <v>12035055</v>
      </c>
      <c r="C194" s="169" t="s">
        <v>1885</v>
      </c>
      <c r="D194" s="170">
        <v>32660</v>
      </c>
      <c r="E194" s="169" t="s">
        <v>1533</v>
      </c>
      <c r="F194" s="168">
        <f aca="true" t="shared" si="3" ref="F194:F257">RIGHT("a",LEN("a")-1)</f>
      </c>
      <c r="G194" s="169" t="s">
        <v>1534</v>
      </c>
      <c r="H194" s="169" t="s">
        <v>1800</v>
      </c>
      <c r="I194" s="169" t="s">
        <v>1801</v>
      </c>
      <c r="J194" s="171"/>
    </row>
    <row r="195" spans="1:10" ht="19.5" customHeight="1">
      <c r="A195" s="167" t="s">
        <v>1886</v>
      </c>
      <c r="B195" s="168" t="str">
        <f>RIGHT("a12035056",LEN("a12035056")-1)</f>
        <v>12035056</v>
      </c>
      <c r="C195" s="169" t="s">
        <v>1887</v>
      </c>
      <c r="D195" s="170">
        <v>31323</v>
      </c>
      <c r="E195" s="169" t="s">
        <v>95</v>
      </c>
      <c r="F195" s="168">
        <f t="shared" si="3"/>
      </c>
      <c r="G195" s="169" t="s">
        <v>1534</v>
      </c>
      <c r="H195" s="169" t="s">
        <v>1800</v>
      </c>
      <c r="I195" s="169" t="s">
        <v>1801</v>
      </c>
      <c r="J195" s="171"/>
    </row>
    <row r="196" spans="1:10" ht="19.5" customHeight="1">
      <c r="A196" s="167" t="s">
        <v>1888</v>
      </c>
      <c r="B196" s="168" t="str">
        <f>RIGHT("a12035057",LEN("a12035057")-1)</f>
        <v>12035057</v>
      </c>
      <c r="C196" s="169" t="s">
        <v>1889</v>
      </c>
      <c r="D196" s="170">
        <v>31329</v>
      </c>
      <c r="E196" s="169" t="s">
        <v>95</v>
      </c>
      <c r="F196" s="168">
        <f t="shared" si="3"/>
      </c>
      <c r="G196" s="169" t="s">
        <v>1534</v>
      </c>
      <c r="H196" s="169" t="s">
        <v>1800</v>
      </c>
      <c r="I196" s="169" t="s">
        <v>1801</v>
      </c>
      <c r="J196" s="171"/>
    </row>
    <row r="197" spans="1:10" ht="19.5" customHeight="1">
      <c r="A197" s="167" t="s">
        <v>1890</v>
      </c>
      <c r="B197" s="168" t="str">
        <f>RIGHT("a12035308",LEN("a12035308")-1)</f>
        <v>12035308</v>
      </c>
      <c r="C197" s="169" t="s">
        <v>1891</v>
      </c>
      <c r="D197" s="170">
        <v>32728</v>
      </c>
      <c r="E197" s="169" t="s">
        <v>1533</v>
      </c>
      <c r="F197" s="168">
        <f t="shared" si="3"/>
      </c>
      <c r="G197" s="169" t="s">
        <v>1534</v>
      </c>
      <c r="H197" s="169" t="s">
        <v>1800</v>
      </c>
      <c r="I197" s="169" t="s">
        <v>1801</v>
      </c>
      <c r="J197" s="171"/>
    </row>
    <row r="198" spans="1:10" ht="19.5" customHeight="1">
      <c r="A198" s="167" t="s">
        <v>1892</v>
      </c>
      <c r="B198" s="168" t="str">
        <f>RIGHT("a12035058",LEN("a12035058")-1)</f>
        <v>12035058</v>
      </c>
      <c r="C198" s="169" t="s">
        <v>1893</v>
      </c>
      <c r="D198" s="170">
        <v>32600</v>
      </c>
      <c r="E198" s="169" t="s">
        <v>1533</v>
      </c>
      <c r="F198" s="168">
        <f t="shared" si="3"/>
      </c>
      <c r="G198" s="169" t="s">
        <v>1534</v>
      </c>
      <c r="H198" s="169" t="s">
        <v>1800</v>
      </c>
      <c r="I198" s="169" t="s">
        <v>1801</v>
      </c>
      <c r="J198" s="171"/>
    </row>
    <row r="199" spans="1:10" ht="19.5" customHeight="1">
      <c r="A199" s="167" t="s">
        <v>1894</v>
      </c>
      <c r="B199" s="168" t="str">
        <f>RIGHT("a12035059",LEN("a12035059")-1)</f>
        <v>12035059</v>
      </c>
      <c r="C199" s="169" t="s">
        <v>1895</v>
      </c>
      <c r="D199" s="170">
        <v>32152</v>
      </c>
      <c r="E199" s="169" t="s">
        <v>1533</v>
      </c>
      <c r="F199" s="168">
        <f t="shared" si="3"/>
      </c>
      <c r="G199" s="169" t="s">
        <v>1534</v>
      </c>
      <c r="H199" s="169" t="s">
        <v>1800</v>
      </c>
      <c r="I199" s="169" t="s">
        <v>1801</v>
      </c>
      <c r="J199" s="171"/>
    </row>
    <row r="200" spans="1:10" ht="19.5" customHeight="1">
      <c r="A200" s="167" t="s">
        <v>1896</v>
      </c>
      <c r="B200" s="168" t="str">
        <f>RIGHT("a12035060",LEN("a12035060")-1)</f>
        <v>12035060</v>
      </c>
      <c r="C200" s="169" t="s">
        <v>1897</v>
      </c>
      <c r="D200" s="170">
        <v>32737</v>
      </c>
      <c r="E200" s="169" t="s">
        <v>1533</v>
      </c>
      <c r="F200" s="168">
        <f t="shared" si="3"/>
      </c>
      <c r="G200" s="169" t="s">
        <v>1534</v>
      </c>
      <c r="H200" s="169" t="s">
        <v>1800</v>
      </c>
      <c r="I200" s="169" t="s">
        <v>1801</v>
      </c>
      <c r="J200" s="171"/>
    </row>
    <row r="201" spans="1:10" ht="19.5" customHeight="1">
      <c r="A201" s="167" t="s">
        <v>1898</v>
      </c>
      <c r="B201" s="168" t="str">
        <f>RIGHT("a12035328",LEN("a12035328")-1)</f>
        <v>12035328</v>
      </c>
      <c r="C201" s="169" t="s">
        <v>1899</v>
      </c>
      <c r="D201" s="170">
        <v>32808</v>
      </c>
      <c r="E201" s="169" t="s">
        <v>1533</v>
      </c>
      <c r="F201" s="168">
        <f t="shared" si="3"/>
      </c>
      <c r="G201" s="169" t="s">
        <v>1534</v>
      </c>
      <c r="H201" s="169" t="s">
        <v>1800</v>
      </c>
      <c r="I201" s="169" t="s">
        <v>1801</v>
      </c>
      <c r="J201" s="171"/>
    </row>
    <row r="202" spans="1:10" ht="19.5" customHeight="1">
      <c r="A202" s="167" t="s">
        <v>1900</v>
      </c>
      <c r="B202" s="168" t="str">
        <f>RIGHT("a12035061",LEN("a12035061")-1)</f>
        <v>12035061</v>
      </c>
      <c r="C202" s="169" t="s">
        <v>1901</v>
      </c>
      <c r="D202" s="170">
        <v>32740</v>
      </c>
      <c r="E202" s="169" t="s">
        <v>1533</v>
      </c>
      <c r="F202" s="168">
        <f t="shared" si="3"/>
      </c>
      <c r="G202" s="169" t="s">
        <v>1534</v>
      </c>
      <c r="H202" s="169" t="s">
        <v>1800</v>
      </c>
      <c r="I202" s="169" t="s">
        <v>1801</v>
      </c>
      <c r="J202" s="171"/>
    </row>
    <row r="203" spans="1:10" ht="19.5" customHeight="1">
      <c r="A203" s="167" t="s">
        <v>1902</v>
      </c>
      <c r="B203" s="168" t="str">
        <f>RIGHT("a12035062",LEN("a12035062")-1)</f>
        <v>12035062</v>
      </c>
      <c r="C203" s="169" t="s">
        <v>1903</v>
      </c>
      <c r="D203" s="170">
        <v>32612</v>
      </c>
      <c r="E203" s="169" t="s">
        <v>1533</v>
      </c>
      <c r="F203" s="168">
        <f t="shared" si="3"/>
      </c>
      <c r="G203" s="169" t="s">
        <v>1534</v>
      </c>
      <c r="H203" s="169" t="s">
        <v>1800</v>
      </c>
      <c r="I203" s="169" t="s">
        <v>1801</v>
      </c>
      <c r="J203" s="171"/>
    </row>
    <row r="204" spans="1:10" ht="19.5" customHeight="1">
      <c r="A204" s="167" t="s">
        <v>1904</v>
      </c>
      <c r="B204" s="168" t="str">
        <f>RIGHT("a12035063",LEN("a12035063")-1)</f>
        <v>12035063</v>
      </c>
      <c r="C204" s="169" t="s">
        <v>1905</v>
      </c>
      <c r="D204" s="170">
        <v>32721</v>
      </c>
      <c r="E204" s="169" t="s">
        <v>1533</v>
      </c>
      <c r="F204" s="168">
        <f t="shared" si="3"/>
      </c>
      <c r="G204" s="169" t="s">
        <v>1534</v>
      </c>
      <c r="H204" s="169" t="s">
        <v>1800</v>
      </c>
      <c r="I204" s="169" t="s">
        <v>1801</v>
      </c>
      <c r="J204" s="171"/>
    </row>
    <row r="205" spans="1:10" ht="19.5" customHeight="1">
      <c r="A205" s="167" t="s">
        <v>1906</v>
      </c>
      <c r="B205" s="168" t="str">
        <f>RIGHT("a12035064",LEN("a12035064")-1)</f>
        <v>12035064</v>
      </c>
      <c r="C205" s="169" t="s">
        <v>1907</v>
      </c>
      <c r="D205" s="170">
        <v>32677</v>
      </c>
      <c r="E205" s="169" t="s">
        <v>1533</v>
      </c>
      <c r="F205" s="168">
        <f t="shared" si="3"/>
      </c>
      <c r="G205" s="169" t="s">
        <v>1534</v>
      </c>
      <c r="H205" s="169" t="s">
        <v>1800</v>
      </c>
      <c r="I205" s="169" t="s">
        <v>1801</v>
      </c>
      <c r="J205" s="171"/>
    </row>
    <row r="206" spans="1:10" ht="19.5" customHeight="1">
      <c r="A206" s="167" t="s">
        <v>1908</v>
      </c>
      <c r="B206" s="168" t="str">
        <f>RIGHT("a12035329",LEN("a12035329")-1)</f>
        <v>12035329</v>
      </c>
      <c r="C206" s="169" t="s">
        <v>1909</v>
      </c>
      <c r="D206" s="170">
        <v>32032</v>
      </c>
      <c r="E206" s="169" t="s">
        <v>1533</v>
      </c>
      <c r="F206" s="168">
        <f t="shared" si="3"/>
      </c>
      <c r="G206" s="169" t="s">
        <v>1534</v>
      </c>
      <c r="H206" s="169" t="s">
        <v>1800</v>
      </c>
      <c r="I206" s="169" t="s">
        <v>1801</v>
      </c>
      <c r="J206" s="171"/>
    </row>
    <row r="207" spans="1:10" ht="19.5" customHeight="1">
      <c r="A207" s="167" t="s">
        <v>1910</v>
      </c>
      <c r="B207" s="168" t="str">
        <f>RIGHT("a12035305",LEN("a12035305")-1)</f>
        <v>12035305</v>
      </c>
      <c r="C207" s="169" t="s">
        <v>1911</v>
      </c>
      <c r="D207" s="170">
        <v>30212</v>
      </c>
      <c r="E207" s="169" t="s">
        <v>1533</v>
      </c>
      <c r="F207" s="168">
        <f t="shared" si="3"/>
      </c>
      <c r="G207" s="169" t="s">
        <v>1534</v>
      </c>
      <c r="H207" s="169" t="s">
        <v>1800</v>
      </c>
      <c r="I207" s="169" t="s">
        <v>1801</v>
      </c>
      <c r="J207" s="171"/>
    </row>
    <row r="208" spans="1:10" ht="19.5" customHeight="1">
      <c r="A208" s="167" t="s">
        <v>1912</v>
      </c>
      <c r="B208" s="168" t="str">
        <f>RIGHT("a12035066",LEN("a12035066")-1)</f>
        <v>12035066</v>
      </c>
      <c r="C208" s="169" t="s">
        <v>1913</v>
      </c>
      <c r="D208" s="170">
        <v>31999</v>
      </c>
      <c r="E208" s="169" t="s">
        <v>1533</v>
      </c>
      <c r="F208" s="168">
        <f t="shared" si="3"/>
      </c>
      <c r="G208" s="169" t="s">
        <v>1534</v>
      </c>
      <c r="H208" s="169" t="s">
        <v>1800</v>
      </c>
      <c r="I208" s="169" t="s">
        <v>1801</v>
      </c>
      <c r="J208" s="171"/>
    </row>
    <row r="209" spans="1:10" ht="19.5" customHeight="1">
      <c r="A209" s="167" t="s">
        <v>1914</v>
      </c>
      <c r="B209" s="168" t="str">
        <f>RIGHT("a12035065",LEN("a12035065")-1)</f>
        <v>12035065</v>
      </c>
      <c r="C209" s="169" t="s">
        <v>1915</v>
      </c>
      <c r="D209" s="170">
        <v>32193</v>
      </c>
      <c r="E209" s="169" t="s">
        <v>1533</v>
      </c>
      <c r="F209" s="168">
        <f t="shared" si="3"/>
      </c>
      <c r="G209" s="169" t="s">
        <v>1534</v>
      </c>
      <c r="H209" s="169" t="s">
        <v>1800</v>
      </c>
      <c r="I209" s="169" t="s">
        <v>1801</v>
      </c>
      <c r="J209" s="171"/>
    </row>
    <row r="210" spans="1:10" ht="19.5" customHeight="1">
      <c r="A210" s="167" t="s">
        <v>1916</v>
      </c>
      <c r="B210" s="168" t="str">
        <f>RIGHT("a12035306",LEN("a12035306")-1)</f>
        <v>12035306</v>
      </c>
      <c r="C210" s="169" t="s">
        <v>1917</v>
      </c>
      <c r="D210" s="170">
        <v>32691</v>
      </c>
      <c r="E210" s="169" t="s">
        <v>1533</v>
      </c>
      <c r="F210" s="168">
        <f t="shared" si="3"/>
      </c>
      <c r="G210" s="169" t="s">
        <v>1534</v>
      </c>
      <c r="H210" s="169" t="s">
        <v>1800</v>
      </c>
      <c r="I210" s="169" t="s">
        <v>1801</v>
      </c>
      <c r="J210" s="171"/>
    </row>
    <row r="211" spans="1:10" ht="19.5" customHeight="1">
      <c r="A211" s="167" t="s">
        <v>1918</v>
      </c>
      <c r="B211" s="168" t="str">
        <f>RIGHT("a12035347",LEN("a12035347")-1)</f>
        <v>12035347</v>
      </c>
      <c r="C211" s="169" t="s">
        <v>1919</v>
      </c>
      <c r="D211" s="170">
        <v>32787</v>
      </c>
      <c r="E211" s="169" t="s">
        <v>1533</v>
      </c>
      <c r="F211" s="168">
        <f t="shared" si="3"/>
      </c>
      <c r="G211" s="169" t="s">
        <v>1534</v>
      </c>
      <c r="H211" s="169" t="s">
        <v>1800</v>
      </c>
      <c r="I211" s="169" t="s">
        <v>1801</v>
      </c>
      <c r="J211" s="171"/>
    </row>
    <row r="212" spans="1:10" ht="19.5" customHeight="1">
      <c r="A212" s="167" t="s">
        <v>1920</v>
      </c>
      <c r="B212" s="168" t="str">
        <f>RIGHT("a12035354",LEN("a12035354")-1)</f>
        <v>12035354</v>
      </c>
      <c r="C212" s="169" t="s">
        <v>1921</v>
      </c>
      <c r="D212" s="170">
        <v>33087</v>
      </c>
      <c r="E212" s="169" t="s">
        <v>1533</v>
      </c>
      <c r="F212" s="168">
        <f t="shared" si="3"/>
      </c>
      <c r="G212" s="169" t="s">
        <v>1534</v>
      </c>
      <c r="H212" s="169" t="s">
        <v>1800</v>
      </c>
      <c r="I212" s="169" t="s">
        <v>1801</v>
      </c>
      <c r="J212" s="171"/>
    </row>
    <row r="213" spans="1:10" ht="19.5" customHeight="1">
      <c r="A213" s="167" t="s">
        <v>1922</v>
      </c>
      <c r="B213" s="168" t="str">
        <f>RIGHT("a12035067",LEN("a12035067")-1)</f>
        <v>12035067</v>
      </c>
      <c r="C213" s="169" t="s">
        <v>1923</v>
      </c>
      <c r="D213" s="170">
        <v>31655</v>
      </c>
      <c r="E213" s="169" t="s">
        <v>1533</v>
      </c>
      <c r="F213" s="168">
        <f t="shared" si="3"/>
      </c>
      <c r="G213" s="169" t="s">
        <v>1534</v>
      </c>
      <c r="H213" s="169" t="s">
        <v>1800</v>
      </c>
      <c r="I213" s="169" t="s">
        <v>1801</v>
      </c>
      <c r="J213" s="171"/>
    </row>
    <row r="214" spans="1:10" ht="19.5" customHeight="1">
      <c r="A214" s="167" t="s">
        <v>1924</v>
      </c>
      <c r="B214" s="168" t="str">
        <f>RIGHT("a12035333",LEN("a12035333")-1)</f>
        <v>12035333</v>
      </c>
      <c r="C214" s="169" t="s">
        <v>1925</v>
      </c>
      <c r="D214" s="170">
        <v>33125</v>
      </c>
      <c r="E214" s="169" t="s">
        <v>1533</v>
      </c>
      <c r="F214" s="168">
        <f t="shared" si="3"/>
      </c>
      <c r="G214" s="169" t="s">
        <v>1534</v>
      </c>
      <c r="H214" s="169" t="s">
        <v>1800</v>
      </c>
      <c r="I214" s="169" t="s">
        <v>1801</v>
      </c>
      <c r="J214" s="171"/>
    </row>
    <row r="215" spans="1:10" ht="19.5" customHeight="1">
      <c r="A215" s="167" t="s">
        <v>1926</v>
      </c>
      <c r="B215" s="168" t="str">
        <f>RIGHT("a12035348",LEN("a12035348")-1)</f>
        <v>12035348</v>
      </c>
      <c r="C215" s="169" t="s">
        <v>1927</v>
      </c>
      <c r="D215" s="170">
        <v>32526</v>
      </c>
      <c r="E215" s="169" t="s">
        <v>1533</v>
      </c>
      <c r="F215" s="168">
        <f t="shared" si="3"/>
      </c>
      <c r="G215" s="169" t="s">
        <v>1534</v>
      </c>
      <c r="H215" s="169" t="s">
        <v>1800</v>
      </c>
      <c r="I215" s="169" t="s">
        <v>1801</v>
      </c>
      <c r="J215" s="171"/>
    </row>
    <row r="216" spans="1:10" ht="19.5" customHeight="1">
      <c r="A216" s="167" t="s">
        <v>1928</v>
      </c>
      <c r="B216" s="168" t="str">
        <f>RIGHT("a12035068",LEN("a12035068")-1)</f>
        <v>12035068</v>
      </c>
      <c r="C216" s="169" t="s">
        <v>1929</v>
      </c>
      <c r="D216" s="170">
        <v>31126</v>
      </c>
      <c r="E216" s="169" t="s">
        <v>95</v>
      </c>
      <c r="F216" s="168">
        <f t="shared" si="3"/>
      </c>
      <c r="G216" s="169" t="s">
        <v>1534</v>
      </c>
      <c r="H216" s="169" t="s">
        <v>1800</v>
      </c>
      <c r="I216" s="169" t="s">
        <v>1801</v>
      </c>
      <c r="J216" s="171"/>
    </row>
    <row r="217" spans="1:10" ht="19.5" customHeight="1">
      <c r="A217" s="167" t="s">
        <v>1930</v>
      </c>
      <c r="B217" s="168" t="str">
        <f>RIGHT("a12035334",LEN("a12035334")-1)</f>
        <v>12035334</v>
      </c>
      <c r="C217" s="169" t="s">
        <v>1931</v>
      </c>
      <c r="D217" s="170">
        <v>31835</v>
      </c>
      <c r="E217" s="169" t="s">
        <v>1533</v>
      </c>
      <c r="F217" s="168">
        <f t="shared" si="3"/>
      </c>
      <c r="G217" s="169" t="s">
        <v>1534</v>
      </c>
      <c r="H217" s="169" t="s">
        <v>1800</v>
      </c>
      <c r="I217" s="169" t="s">
        <v>1801</v>
      </c>
      <c r="J217" s="171"/>
    </row>
    <row r="218" spans="1:10" ht="19.5" customHeight="1">
      <c r="A218" s="167" t="s">
        <v>1932</v>
      </c>
      <c r="B218" s="168" t="str">
        <f>RIGHT("a12035069",LEN("a12035069")-1)</f>
        <v>12035069</v>
      </c>
      <c r="C218" s="169" t="s">
        <v>1933</v>
      </c>
      <c r="D218" s="170">
        <v>32042</v>
      </c>
      <c r="E218" s="169" t="s">
        <v>95</v>
      </c>
      <c r="F218" s="168">
        <f t="shared" si="3"/>
      </c>
      <c r="G218" s="169" t="s">
        <v>1534</v>
      </c>
      <c r="H218" s="169" t="s">
        <v>1800</v>
      </c>
      <c r="I218" s="169" t="s">
        <v>1801</v>
      </c>
      <c r="J218" s="171"/>
    </row>
    <row r="219" spans="1:10" ht="19.5" customHeight="1">
      <c r="A219" s="167" t="s">
        <v>1934</v>
      </c>
      <c r="B219" s="168" t="str">
        <f>RIGHT("a12035071",LEN("a12035071")-1)</f>
        <v>12035071</v>
      </c>
      <c r="C219" s="169" t="s">
        <v>1935</v>
      </c>
      <c r="D219" s="170">
        <v>31698</v>
      </c>
      <c r="E219" s="169" t="s">
        <v>1533</v>
      </c>
      <c r="F219" s="168">
        <f t="shared" si="3"/>
      </c>
      <c r="G219" s="169" t="s">
        <v>1534</v>
      </c>
      <c r="H219" s="169" t="s">
        <v>1800</v>
      </c>
      <c r="I219" s="169" t="s">
        <v>1801</v>
      </c>
      <c r="J219" s="171"/>
    </row>
    <row r="220" spans="1:10" ht="19.5" customHeight="1">
      <c r="A220" s="167" t="s">
        <v>1936</v>
      </c>
      <c r="B220" s="168" t="str">
        <f>RIGHT("a12035343",LEN("a12035343")-1)</f>
        <v>12035343</v>
      </c>
      <c r="C220" s="169" t="s">
        <v>1937</v>
      </c>
      <c r="D220" s="170">
        <v>32558</v>
      </c>
      <c r="E220" s="169" t="s">
        <v>1533</v>
      </c>
      <c r="F220" s="168">
        <f t="shared" si="3"/>
      </c>
      <c r="G220" s="169" t="s">
        <v>1534</v>
      </c>
      <c r="H220" s="169" t="s">
        <v>1800</v>
      </c>
      <c r="I220" s="169" t="s">
        <v>1801</v>
      </c>
      <c r="J220" s="171"/>
    </row>
    <row r="221" spans="1:10" ht="19.5" customHeight="1">
      <c r="A221" s="167" t="s">
        <v>1938</v>
      </c>
      <c r="B221" s="168" t="str">
        <f>RIGHT("a12035335",LEN("a12035335")-1)</f>
        <v>12035335</v>
      </c>
      <c r="C221" s="169" t="s">
        <v>1939</v>
      </c>
      <c r="D221" s="170">
        <v>33240</v>
      </c>
      <c r="E221" s="169" t="s">
        <v>1533</v>
      </c>
      <c r="F221" s="168">
        <f t="shared" si="3"/>
      </c>
      <c r="G221" s="169" t="s">
        <v>1534</v>
      </c>
      <c r="H221" s="169" t="s">
        <v>1800</v>
      </c>
      <c r="I221" s="169" t="s">
        <v>1801</v>
      </c>
      <c r="J221" s="171"/>
    </row>
    <row r="222" spans="1:10" ht="19.5" customHeight="1">
      <c r="A222" s="167" t="s">
        <v>1940</v>
      </c>
      <c r="B222" s="168" t="str">
        <f>RIGHT("a12035070",LEN("a12035070")-1)</f>
        <v>12035070</v>
      </c>
      <c r="C222" s="169" t="s">
        <v>1941</v>
      </c>
      <c r="D222" s="170">
        <v>32517</v>
      </c>
      <c r="E222" s="169" t="s">
        <v>1533</v>
      </c>
      <c r="F222" s="168">
        <f t="shared" si="3"/>
      </c>
      <c r="G222" s="169" t="s">
        <v>1534</v>
      </c>
      <c r="H222" s="169" t="s">
        <v>1800</v>
      </c>
      <c r="I222" s="169" t="s">
        <v>1801</v>
      </c>
      <c r="J222" s="171"/>
    </row>
    <row r="223" spans="1:10" ht="19.5" customHeight="1">
      <c r="A223" s="167" t="s">
        <v>1942</v>
      </c>
      <c r="B223" s="168" t="str">
        <f>RIGHT("a12035330",LEN("a12035330")-1)</f>
        <v>12035330</v>
      </c>
      <c r="C223" s="169" t="s">
        <v>1943</v>
      </c>
      <c r="D223" s="170">
        <v>32943</v>
      </c>
      <c r="E223" s="169" t="s">
        <v>1533</v>
      </c>
      <c r="F223" s="168">
        <f t="shared" si="3"/>
      </c>
      <c r="G223" s="169" t="s">
        <v>1534</v>
      </c>
      <c r="H223" s="169" t="s">
        <v>1800</v>
      </c>
      <c r="I223" s="169" t="s">
        <v>1801</v>
      </c>
      <c r="J223" s="171"/>
    </row>
    <row r="224" spans="1:10" ht="19.5" customHeight="1">
      <c r="A224" s="167" t="s">
        <v>1944</v>
      </c>
      <c r="B224" s="168" t="str">
        <f>RIGHT("a12035319",LEN("a12035319")-1)</f>
        <v>12035319</v>
      </c>
      <c r="C224" s="169" t="s">
        <v>1945</v>
      </c>
      <c r="D224" s="170">
        <v>33086</v>
      </c>
      <c r="E224" s="169" t="s">
        <v>1533</v>
      </c>
      <c r="F224" s="168">
        <f t="shared" si="3"/>
      </c>
      <c r="G224" s="169" t="s">
        <v>1534</v>
      </c>
      <c r="H224" s="169" t="s">
        <v>1800</v>
      </c>
      <c r="I224" s="169" t="s">
        <v>1801</v>
      </c>
      <c r="J224" s="171"/>
    </row>
    <row r="225" spans="1:10" ht="19.5" customHeight="1">
      <c r="A225" s="167" t="s">
        <v>1946</v>
      </c>
      <c r="B225" s="168" t="str">
        <f>RIGHT("a12035072",LEN("a12035072")-1)</f>
        <v>12035072</v>
      </c>
      <c r="C225" s="169" t="s">
        <v>1947</v>
      </c>
      <c r="D225" s="170">
        <v>32704</v>
      </c>
      <c r="E225" s="169" t="s">
        <v>1533</v>
      </c>
      <c r="F225" s="168">
        <f t="shared" si="3"/>
      </c>
      <c r="G225" s="169" t="s">
        <v>1534</v>
      </c>
      <c r="H225" s="169" t="s">
        <v>1800</v>
      </c>
      <c r="I225" s="169" t="s">
        <v>1801</v>
      </c>
      <c r="J225" s="171"/>
    </row>
    <row r="226" spans="1:10" ht="19.5" customHeight="1">
      <c r="A226" s="167" t="s">
        <v>1948</v>
      </c>
      <c r="B226" s="168" t="str">
        <f>RIGHT("a12035320",LEN("a12035320")-1)</f>
        <v>12035320</v>
      </c>
      <c r="C226" s="169" t="s">
        <v>1949</v>
      </c>
      <c r="D226" s="170">
        <v>33081</v>
      </c>
      <c r="E226" s="169" t="s">
        <v>1533</v>
      </c>
      <c r="F226" s="168">
        <f t="shared" si="3"/>
      </c>
      <c r="G226" s="169" t="s">
        <v>1534</v>
      </c>
      <c r="H226" s="169" t="s">
        <v>1800</v>
      </c>
      <c r="I226" s="169" t="s">
        <v>1801</v>
      </c>
      <c r="J226" s="171"/>
    </row>
    <row r="227" spans="1:10" ht="19.5" customHeight="1">
      <c r="A227" s="167" t="s">
        <v>1950</v>
      </c>
      <c r="B227" s="168" t="str">
        <f>RIGHT("a12035350",LEN("a12035350")-1)</f>
        <v>12035350</v>
      </c>
      <c r="C227" s="169" t="s">
        <v>1951</v>
      </c>
      <c r="D227" s="170">
        <v>30515</v>
      </c>
      <c r="E227" s="169" t="s">
        <v>1533</v>
      </c>
      <c r="F227" s="168">
        <f t="shared" si="3"/>
      </c>
      <c r="G227" s="169" t="s">
        <v>1534</v>
      </c>
      <c r="H227" s="169" t="s">
        <v>1800</v>
      </c>
      <c r="I227" s="169" t="s">
        <v>1801</v>
      </c>
      <c r="J227" s="171"/>
    </row>
    <row r="228" spans="1:10" ht="19.5" customHeight="1">
      <c r="A228" s="167" t="s">
        <v>1952</v>
      </c>
      <c r="B228" s="168" t="str">
        <f>RIGHT("a12035349",LEN("a12035349")-1)</f>
        <v>12035349</v>
      </c>
      <c r="C228" s="169" t="s">
        <v>1953</v>
      </c>
      <c r="D228" s="170">
        <v>33165</v>
      </c>
      <c r="E228" s="169" t="s">
        <v>1533</v>
      </c>
      <c r="F228" s="168">
        <f t="shared" si="3"/>
      </c>
      <c r="G228" s="169" t="s">
        <v>1534</v>
      </c>
      <c r="H228" s="169" t="s">
        <v>1800</v>
      </c>
      <c r="I228" s="169" t="s">
        <v>1801</v>
      </c>
      <c r="J228" s="171"/>
    </row>
    <row r="229" spans="1:10" ht="19.5" customHeight="1">
      <c r="A229" s="167" t="s">
        <v>1954</v>
      </c>
      <c r="B229" s="168" t="str">
        <f>RIGHT("a12035336",LEN("a12035336")-1)</f>
        <v>12035336</v>
      </c>
      <c r="C229" s="169" t="s">
        <v>1955</v>
      </c>
      <c r="D229" s="170">
        <v>32970</v>
      </c>
      <c r="E229" s="169" t="s">
        <v>1533</v>
      </c>
      <c r="F229" s="168">
        <f t="shared" si="3"/>
      </c>
      <c r="G229" s="169" t="s">
        <v>1534</v>
      </c>
      <c r="H229" s="169" t="s">
        <v>1800</v>
      </c>
      <c r="I229" s="169" t="s">
        <v>1801</v>
      </c>
      <c r="J229" s="171"/>
    </row>
    <row r="230" spans="1:10" ht="19.5" customHeight="1">
      <c r="A230" s="167" t="s">
        <v>1956</v>
      </c>
      <c r="B230" s="168" t="str">
        <f>RIGHT("a12035344",LEN("a12035344")-1)</f>
        <v>12035344</v>
      </c>
      <c r="C230" s="169" t="s">
        <v>1957</v>
      </c>
      <c r="D230" s="170">
        <v>31283</v>
      </c>
      <c r="E230" s="169" t="s">
        <v>1533</v>
      </c>
      <c r="F230" s="168">
        <f t="shared" si="3"/>
      </c>
      <c r="G230" s="169" t="s">
        <v>1534</v>
      </c>
      <c r="H230" s="169" t="s">
        <v>1800</v>
      </c>
      <c r="I230" s="169" t="s">
        <v>1801</v>
      </c>
      <c r="J230" s="171"/>
    </row>
    <row r="231" spans="1:10" ht="19.5" customHeight="1">
      <c r="A231" s="167" t="s">
        <v>1958</v>
      </c>
      <c r="B231" s="168" t="str">
        <f>RIGHT("a12035352",LEN("a12035352")-1)</f>
        <v>12035352</v>
      </c>
      <c r="C231" s="169" t="s">
        <v>1959</v>
      </c>
      <c r="D231" s="170">
        <v>33189</v>
      </c>
      <c r="E231" s="169" t="s">
        <v>1533</v>
      </c>
      <c r="F231" s="168">
        <f t="shared" si="3"/>
      </c>
      <c r="G231" s="169" t="s">
        <v>1534</v>
      </c>
      <c r="H231" s="169" t="s">
        <v>1800</v>
      </c>
      <c r="I231" s="169" t="s">
        <v>1801</v>
      </c>
      <c r="J231" s="171"/>
    </row>
    <row r="232" spans="1:10" ht="19.5" customHeight="1">
      <c r="A232" s="167" t="s">
        <v>1960</v>
      </c>
      <c r="B232" s="168" t="str">
        <f>RIGHT("a12035073",LEN("a12035073")-1)</f>
        <v>12035073</v>
      </c>
      <c r="C232" s="169" t="s">
        <v>1961</v>
      </c>
      <c r="D232" s="170">
        <v>31704</v>
      </c>
      <c r="E232" s="169" t="s">
        <v>1533</v>
      </c>
      <c r="F232" s="168">
        <f t="shared" si="3"/>
      </c>
      <c r="G232" s="169" t="s">
        <v>1534</v>
      </c>
      <c r="H232" s="169" t="s">
        <v>1800</v>
      </c>
      <c r="I232" s="169" t="s">
        <v>1801</v>
      </c>
      <c r="J232" s="171"/>
    </row>
    <row r="233" spans="1:10" ht="19.5" customHeight="1">
      <c r="A233" s="167" t="s">
        <v>1962</v>
      </c>
      <c r="B233" s="168" t="str">
        <f>RIGHT("a12035351",LEN("a12035351")-1)</f>
        <v>12035351</v>
      </c>
      <c r="C233" s="169" t="s">
        <v>1714</v>
      </c>
      <c r="D233" s="170">
        <v>31971</v>
      </c>
      <c r="E233" s="169" t="s">
        <v>1533</v>
      </c>
      <c r="F233" s="168">
        <f t="shared" si="3"/>
      </c>
      <c r="G233" s="169" t="s">
        <v>1534</v>
      </c>
      <c r="H233" s="169" t="s">
        <v>1800</v>
      </c>
      <c r="I233" s="169" t="s">
        <v>1801</v>
      </c>
      <c r="J233" s="171"/>
    </row>
    <row r="234" spans="1:10" ht="19.5" customHeight="1">
      <c r="A234" s="167" t="s">
        <v>1963</v>
      </c>
      <c r="B234" s="168" t="str">
        <f>RIGHT("a12035074",LEN("a12035074")-1)</f>
        <v>12035074</v>
      </c>
      <c r="C234" s="169" t="s">
        <v>1964</v>
      </c>
      <c r="D234" s="170">
        <v>32263</v>
      </c>
      <c r="E234" s="169" t="s">
        <v>1533</v>
      </c>
      <c r="F234" s="168">
        <f t="shared" si="3"/>
      </c>
      <c r="G234" s="169" t="s">
        <v>1534</v>
      </c>
      <c r="H234" s="169" t="s">
        <v>1800</v>
      </c>
      <c r="I234" s="169" t="s">
        <v>1801</v>
      </c>
      <c r="J234" s="171"/>
    </row>
    <row r="235" spans="1:10" ht="19.5" customHeight="1">
      <c r="A235" s="167" t="s">
        <v>1965</v>
      </c>
      <c r="B235" s="168" t="str">
        <f>RIGHT("a12035337",LEN("a12035337")-1)</f>
        <v>12035337</v>
      </c>
      <c r="C235" s="169" t="s">
        <v>1966</v>
      </c>
      <c r="D235" s="170">
        <v>32914</v>
      </c>
      <c r="E235" s="169" t="s">
        <v>1533</v>
      </c>
      <c r="F235" s="168">
        <f t="shared" si="3"/>
      </c>
      <c r="G235" s="169" t="s">
        <v>1534</v>
      </c>
      <c r="H235" s="169" t="s">
        <v>1800</v>
      </c>
      <c r="I235" s="169" t="s">
        <v>1801</v>
      </c>
      <c r="J235" s="171"/>
    </row>
    <row r="236" spans="1:10" ht="19.5" customHeight="1">
      <c r="A236" s="167" t="s">
        <v>1967</v>
      </c>
      <c r="B236" s="168" t="str">
        <f>RIGHT("a12035314",LEN("a12035314")-1)</f>
        <v>12035314</v>
      </c>
      <c r="C236" s="169" t="s">
        <v>1968</v>
      </c>
      <c r="D236" s="170">
        <v>32844</v>
      </c>
      <c r="E236" s="169" t="s">
        <v>1533</v>
      </c>
      <c r="F236" s="168">
        <f t="shared" si="3"/>
      </c>
      <c r="G236" s="169" t="s">
        <v>1534</v>
      </c>
      <c r="H236" s="169" t="s">
        <v>1800</v>
      </c>
      <c r="I236" s="169" t="s">
        <v>1801</v>
      </c>
      <c r="J236" s="171"/>
    </row>
    <row r="237" spans="1:10" ht="19.5" customHeight="1">
      <c r="A237" s="167" t="s">
        <v>1969</v>
      </c>
      <c r="B237" s="168" t="str">
        <f>RIGHT("a12035321",LEN("a12035321")-1)</f>
        <v>12035321</v>
      </c>
      <c r="C237" s="169" t="s">
        <v>1970</v>
      </c>
      <c r="D237" s="170">
        <v>29791</v>
      </c>
      <c r="E237" s="169" t="s">
        <v>95</v>
      </c>
      <c r="F237" s="168">
        <f t="shared" si="3"/>
      </c>
      <c r="G237" s="169" t="s">
        <v>1534</v>
      </c>
      <c r="H237" s="169" t="s">
        <v>1800</v>
      </c>
      <c r="I237" s="169" t="s">
        <v>1801</v>
      </c>
      <c r="J237" s="171"/>
    </row>
    <row r="238" spans="1:10" ht="19.5" customHeight="1">
      <c r="A238" s="167" t="s">
        <v>1971</v>
      </c>
      <c r="B238" s="168" t="str">
        <f>RIGHT("a12035322",LEN("a12035322")-1)</f>
        <v>12035322</v>
      </c>
      <c r="C238" s="169" t="s">
        <v>262</v>
      </c>
      <c r="D238" s="170">
        <v>32976</v>
      </c>
      <c r="E238" s="169" t="s">
        <v>1533</v>
      </c>
      <c r="F238" s="168">
        <f t="shared" si="3"/>
      </c>
      <c r="G238" s="169" t="s">
        <v>1534</v>
      </c>
      <c r="H238" s="169" t="s">
        <v>1800</v>
      </c>
      <c r="I238" s="169" t="s">
        <v>1801</v>
      </c>
      <c r="J238" s="171"/>
    </row>
    <row r="239" spans="1:10" ht="19.5" customHeight="1">
      <c r="A239" s="167" t="s">
        <v>1972</v>
      </c>
      <c r="B239" s="168" t="str">
        <f>RIGHT("a12035331",LEN("a12035331")-1)</f>
        <v>12035331</v>
      </c>
      <c r="C239" s="169" t="s">
        <v>1973</v>
      </c>
      <c r="D239" s="170">
        <v>30961</v>
      </c>
      <c r="E239" s="169" t="s">
        <v>1533</v>
      </c>
      <c r="F239" s="168">
        <f t="shared" si="3"/>
      </c>
      <c r="G239" s="169" t="s">
        <v>1534</v>
      </c>
      <c r="H239" s="169" t="s">
        <v>1800</v>
      </c>
      <c r="I239" s="169" t="s">
        <v>1801</v>
      </c>
      <c r="J239" s="171"/>
    </row>
    <row r="240" spans="1:10" ht="19.5" customHeight="1">
      <c r="A240" s="167" t="s">
        <v>1974</v>
      </c>
      <c r="B240" s="168" t="str">
        <f>RIGHT("a12035332",LEN("a12035332")-1)</f>
        <v>12035332</v>
      </c>
      <c r="C240" s="169" t="s">
        <v>1975</v>
      </c>
      <c r="D240" s="170">
        <v>32735</v>
      </c>
      <c r="E240" s="169" t="s">
        <v>1533</v>
      </c>
      <c r="F240" s="168">
        <f t="shared" si="3"/>
      </c>
      <c r="G240" s="169" t="s">
        <v>1534</v>
      </c>
      <c r="H240" s="169" t="s">
        <v>1800</v>
      </c>
      <c r="I240" s="169" t="s">
        <v>1801</v>
      </c>
      <c r="J240" s="171"/>
    </row>
    <row r="241" spans="1:10" ht="19.5" customHeight="1">
      <c r="A241" s="167" t="s">
        <v>1976</v>
      </c>
      <c r="B241" s="168" t="str">
        <f>RIGHT("a12035338",LEN("a12035338")-1)</f>
        <v>12035338</v>
      </c>
      <c r="C241" s="169" t="s">
        <v>1977</v>
      </c>
      <c r="D241" s="170">
        <v>32961</v>
      </c>
      <c r="E241" s="169" t="s">
        <v>1533</v>
      </c>
      <c r="F241" s="168">
        <f t="shared" si="3"/>
      </c>
      <c r="G241" s="169" t="s">
        <v>1534</v>
      </c>
      <c r="H241" s="169" t="s">
        <v>1800</v>
      </c>
      <c r="I241" s="169" t="s">
        <v>1801</v>
      </c>
      <c r="J241" s="171"/>
    </row>
    <row r="242" spans="1:10" ht="19.5" customHeight="1">
      <c r="A242" s="167" t="s">
        <v>1978</v>
      </c>
      <c r="B242" s="168" t="str">
        <f>RIGHT("a12035075",LEN("a12035075")-1)</f>
        <v>12035075</v>
      </c>
      <c r="C242" s="169" t="s">
        <v>1979</v>
      </c>
      <c r="D242" s="170">
        <v>32095</v>
      </c>
      <c r="E242" s="169" t="s">
        <v>1533</v>
      </c>
      <c r="F242" s="168">
        <f t="shared" si="3"/>
      </c>
      <c r="G242" s="169" t="s">
        <v>1534</v>
      </c>
      <c r="H242" s="169" t="s">
        <v>1800</v>
      </c>
      <c r="I242" s="169" t="s">
        <v>1801</v>
      </c>
      <c r="J242" s="171"/>
    </row>
    <row r="243" spans="1:10" ht="19.5" customHeight="1">
      <c r="A243" s="167" t="s">
        <v>1980</v>
      </c>
      <c r="B243" s="168" t="str">
        <f>RIGHT("a12035360",LEN("a12035360")-1)</f>
        <v>12035360</v>
      </c>
      <c r="C243" s="169" t="s">
        <v>1981</v>
      </c>
      <c r="D243" s="170">
        <v>31460</v>
      </c>
      <c r="E243" s="169" t="s">
        <v>1533</v>
      </c>
      <c r="F243" s="168">
        <f t="shared" si="3"/>
      </c>
      <c r="G243" s="169" t="s">
        <v>1534</v>
      </c>
      <c r="H243" s="169" t="s">
        <v>848</v>
      </c>
      <c r="I243" s="169" t="s">
        <v>1982</v>
      </c>
      <c r="J243" s="171"/>
    </row>
    <row r="244" spans="1:10" ht="19.5" customHeight="1">
      <c r="A244" s="167" t="s">
        <v>1983</v>
      </c>
      <c r="B244" s="168" t="str">
        <f>RIGHT("a12035366",LEN("a12035366")-1)</f>
        <v>12035366</v>
      </c>
      <c r="C244" s="169" t="s">
        <v>362</v>
      </c>
      <c r="D244" s="170">
        <v>31668</v>
      </c>
      <c r="E244" s="169" t="s">
        <v>1533</v>
      </c>
      <c r="F244" s="168">
        <f t="shared" si="3"/>
      </c>
      <c r="G244" s="169" t="s">
        <v>1534</v>
      </c>
      <c r="H244" s="169" t="s">
        <v>848</v>
      </c>
      <c r="I244" s="169" t="s">
        <v>1982</v>
      </c>
      <c r="J244" s="171"/>
    </row>
    <row r="245" spans="1:10" ht="19.5" customHeight="1">
      <c r="A245" s="167" t="s">
        <v>1984</v>
      </c>
      <c r="B245" s="168" t="str">
        <f>RIGHT("a12035790",LEN("a12035790")-1)</f>
        <v>12035790</v>
      </c>
      <c r="C245" s="169" t="s">
        <v>1985</v>
      </c>
      <c r="D245" s="170">
        <v>31295</v>
      </c>
      <c r="E245" s="169" t="s">
        <v>1533</v>
      </c>
      <c r="F245" s="168">
        <f t="shared" si="3"/>
      </c>
      <c r="G245" s="169" t="s">
        <v>1534</v>
      </c>
      <c r="H245" s="169" t="s">
        <v>848</v>
      </c>
      <c r="I245" s="169" t="s">
        <v>1982</v>
      </c>
      <c r="J245" s="171"/>
    </row>
    <row r="246" spans="1:10" ht="19.5" customHeight="1">
      <c r="A246" s="167" t="s">
        <v>1986</v>
      </c>
      <c r="B246" s="168" t="str">
        <f>RIGHT("a12035367",LEN("a12035367")-1)</f>
        <v>12035367</v>
      </c>
      <c r="C246" s="169" t="s">
        <v>1987</v>
      </c>
      <c r="D246" s="170">
        <v>32481</v>
      </c>
      <c r="E246" s="169" t="s">
        <v>1533</v>
      </c>
      <c r="F246" s="168">
        <f t="shared" si="3"/>
      </c>
      <c r="G246" s="169" t="s">
        <v>1534</v>
      </c>
      <c r="H246" s="169" t="s">
        <v>848</v>
      </c>
      <c r="I246" s="169" t="s">
        <v>1982</v>
      </c>
      <c r="J246" s="171"/>
    </row>
    <row r="247" spans="1:10" ht="19.5" customHeight="1">
      <c r="A247" s="167" t="s">
        <v>1988</v>
      </c>
      <c r="B247" s="168" t="str">
        <f>RIGHT("a12035361",LEN("a12035361")-1)</f>
        <v>12035361</v>
      </c>
      <c r="C247" s="169" t="s">
        <v>1989</v>
      </c>
      <c r="D247" s="170">
        <v>32417</v>
      </c>
      <c r="E247" s="169" t="s">
        <v>1533</v>
      </c>
      <c r="F247" s="168">
        <f t="shared" si="3"/>
      </c>
      <c r="G247" s="169" t="s">
        <v>1534</v>
      </c>
      <c r="H247" s="169" t="s">
        <v>848</v>
      </c>
      <c r="I247" s="169" t="s">
        <v>1982</v>
      </c>
      <c r="J247" s="171"/>
    </row>
    <row r="248" spans="1:10" ht="19.5" customHeight="1">
      <c r="A248" s="167" t="s">
        <v>1990</v>
      </c>
      <c r="B248" s="168" t="str">
        <f>RIGHT("a12035373",LEN("a12035373")-1)</f>
        <v>12035373</v>
      </c>
      <c r="C248" s="169" t="s">
        <v>1991</v>
      </c>
      <c r="D248" s="170">
        <v>32776</v>
      </c>
      <c r="E248" s="169" t="s">
        <v>1533</v>
      </c>
      <c r="F248" s="168">
        <f t="shared" si="3"/>
      </c>
      <c r="G248" s="169" t="s">
        <v>1534</v>
      </c>
      <c r="H248" s="169" t="s">
        <v>848</v>
      </c>
      <c r="I248" s="169" t="s">
        <v>1982</v>
      </c>
      <c r="J248" s="171"/>
    </row>
    <row r="249" spans="1:10" ht="19.5" customHeight="1">
      <c r="A249" s="167" t="s">
        <v>1992</v>
      </c>
      <c r="B249" s="168" t="str">
        <f>RIGHT("a12035076",LEN("a12035076")-1)</f>
        <v>12035076</v>
      </c>
      <c r="C249" s="169" t="s">
        <v>1993</v>
      </c>
      <c r="D249" s="170">
        <v>32597</v>
      </c>
      <c r="E249" s="169" t="s">
        <v>1533</v>
      </c>
      <c r="F249" s="168">
        <f t="shared" si="3"/>
      </c>
      <c r="G249" s="169" t="s">
        <v>1534</v>
      </c>
      <c r="H249" s="169" t="s">
        <v>848</v>
      </c>
      <c r="I249" s="169" t="s">
        <v>1982</v>
      </c>
      <c r="J249" s="171"/>
    </row>
    <row r="250" spans="1:10" ht="19.5" customHeight="1">
      <c r="A250" s="167" t="s">
        <v>1994</v>
      </c>
      <c r="B250" s="168" t="str">
        <f>RIGHT("a12035376",LEN("a12035376")-1)</f>
        <v>12035376</v>
      </c>
      <c r="C250" s="169" t="s">
        <v>1995</v>
      </c>
      <c r="D250" s="170">
        <v>28348</v>
      </c>
      <c r="E250" s="169" t="s">
        <v>1533</v>
      </c>
      <c r="F250" s="168">
        <f t="shared" si="3"/>
      </c>
      <c r="G250" s="169" t="s">
        <v>1534</v>
      </c>
      <c r="H250" s="169" t="s">
        <v>848</v>
      </c>
      <c r="I250" s="169" t="s">
        <v>1982</v>
      </c>
      <c r="J250" s="171"/>
    </row>
    <row r="251" spans="1:10" ht="19.5" customHeight="1">
      <c r="A251" s="167" t="s">
        <v>1996</v>
      </c>
      <c r="B251" s="168" t="str">
        <f>RIGHT("a12035362",LEN("a12035362")-1)</f>
        <v>12035362</v>
      </c>
      <c r="C251" s="169" t="s">
        <v>1997</v>
      </c>
      <c r="D251" s="170">
        <v>32025</v>
      </c>
      <c r="E251" s="169" t="s">
        <v>1533</v>
      </c>
      <c r="F251" s="168">
        <f t="shared" si="3"/>
      </c>
      <c r="G251" s="169" t="s">
        <v>1534</v>
      </c>
      <c r="H251" s="169" t="s">
        <v>848</v>
      </c>
      <c r="I251" s="169" t="s">
        <v>1982</v>
      </c>
      <c r="J251" s="171"/>
    </row>
    <row r="252" spans="1:10" ht="19.5" customHeight="1">
      <c r="A252" s="167" t="s">
        <v>1998</v>
      </c>
      <c r="B252" s="168" t="str">
        <f>RIGHT("a12035372",LEN("a12035372")-1)</f>
        <v>12035372</v>
      </c>
      <c r="C252" s="169" t="s">
        <v>200</v>
      </c>
      <c r="D252" s="170">
        <v>31576</v>
      </c>
      <c r="E252" s="169" t="s">
        <v>1533</v>
      </c>
      <c r="F252" s="168">
        <f t="shared" si="3"/>
      </c>
      <c r="G252" s="169" t="s">
        <v>1534</v>
      </c>
      <c r="H252" s="169" t="s">
        <v>848</v>
      </c>
      <c r="I252" s="169" t="s">
        <v>1982</v>
      </c>
      <c r="J252" s="171"/>
    </row>
    <row r="253" spans="1:10" ht="19.5" customHeight="1">
      <c r="A253" s="167" t="s">
        <v>1999</v>
      </c>
      <c r="B253" s="168" t="str">
        <f>RIGHT("a12035363",LEN("a12035363")-1)</f>
        <v>12035363</v>
      </c>
      <c r="C253" s="169" t="s">
        <v>2000</v>
      </c>
      <c r="D253" s="170">
        <v>32365</v>
      </c>
      <c r="E253" s="169" t="s">
        <v>1533</v>
      </c>
      <c r="F253" s="168">
        <f t="shared" si="3"/>
      </c>
      <c r="G253" s="169" t="s">
        <v>1534</v>
      </c>
      <c r="H253" s="169" t="s">
        <v>848</v>
      </c>
      <c r="I253" s="169" t="s">
        <v>1982</v>
      </c>
      <c r="J253" s="171"/>
    </row>
    <row r="254" spans="1:10" ht="19.5" customHeight="1">
      <c r="A254" s="167" t="s">
        <v>2001</v>
      </c>
      <c r="B254" s="168" t="str">
        <f>RIGHT("a12035371",LEN("a12035371")-1)</f>
        <v>12035371</v>
      </c>
      <c r="C254" s="169" t="s">
        <v>114</v>
      </c>
      <c r="D254" s="170">
        <v>31066</v>
      </c>
      <c r="E254" s="169" t="s">
        <v>95</v>
      </c>
      <c r="F254" s="168">
        <f t="shared" si="3"/>
      </c>
      <c r="G254" s="169" t="s">
        <v>1534</v>
      </c>
      <c r="H254" s="169" t="s">
        <v>848</v>
      </c>
      <c r="I254" s="169" t="s">
        <v>1982</v>
      </c>
      <c r="J254" s="171"/>
    </row>
    <row r="255" spans="1:10" ht="19.5" customHeight="1">
      <c r="A255" s="167" t="s">
        <v>2002</v>
      </c>
      <c r="B255" s="168" t="str">
        <f>RIGHT("a12035078",LEN("a12035078")-1)</f>
        <v>12035078</v>
      </c>
      <c r="C255" s="169" t="s">
        <v>2003</v>
      </c>
      <c r="D255" s="170">
        <v>31361</v>
      </c>
      <c r="E255" s="169" t="s">
        <v>1533</v>
      </c>
      <c r="F255" s="168">
        <f t="shared" si="3"/>
      </c>
      <c r="G255" s="169" t="s">
        <v>1534</v>
      </c>
      <c r="H255" s="169" t="s">
        <v>848</v>
      </c>
      <c r="I255" s="169" t="s">
        <v>1982</v>
      </c>
      <c r="J255" s="171"/>
    </row>
    <row r="256" spans="1:10" ht="19.5" customHeight="1">
      <c r="A256" s="167" t="s">
        <v>2004</v>
      </c>
      <c r="B256" s="168" t="str">
        <f>RIGHT("a12035077",LEN("a12035077")-1)</f>
        <v>12035077</v>
      </c>
      <c r="C256" s="169" t="s">
        <v>2005</v>
      </c>
      <c r="D256" s="170">
        <v>29084</v>
      </c>
      <c r="E256" s="169" t="s">
        <v>1533</v>
      </c>
      <c r="F256" s="168">
        <f t="shared" si="3"/>
      </c>
      <c r="G256" s="169" t="s">
        <v>1534</v>
      </c>
      <c r="H256" s="169" t="s">
        <v>848</v>
      </c>
      <c r="I256" s="169" t="s">
        <v>1982</v>
      </c>
      <c r="J256" s="171"/>
    </row>
    <row r="257" spans="1:10" ht="19.5" customHeight="1">
      <c r="A257" s="167" t="s">
        <v>2006</v>
      </c>
      <c r="B257" s="168" t="str">
        <f>RIGHT("a12035358",LEN("a12035358")-1)</f>
        <v>12035358</v>
      </c>
      <c r="C257" s="169" t="s">
        <v>2007</v>
      </c>
      <c r="D257" s="170">
        <v>31340</v>
      </c>
      <c r="E257" s="169" t="s">
        <v>1533</v>
      </c>
      <c r="F257" s="168">
        <f t="shared" si="3"/>
      </c>
      <c r="G257" s="169" t="s">
        <v>1534</v>
      </c>
      <c r="H257" s="169" t="s">
        <v>848</v>
      </c>
      <c r="I257" s="169" t="s">
        <v>1982</v>
      </c>
      <c r="J257" s="171"/>
    </row>
    <row r="258" spans="1:10" ht="19.5" customHeight="1">
      <c r="A258" s="167" t="s">
        <v>2008</v>
      </c>
      <c r="B258" s="168" t="str">
        <f>RIGHT("a12035792",LEN("a12035792")-1)</f>
        <v>12035792</v>
      </c>
      <c r="C258" s="169" t="s">
        <v>2009</v>
      </c>
      <c r="D258" s="170">
        <v>30203</v>
      </c>
      <c r="E258" s="169" t="s">
        <v>1533</v>
      </c>
      <c r="F258" s="168">
        <f aca="true" t="shared" si="4" ref="F258:F321">RIGHT("a",LEN("a")-1)</f>
      </c>
      <c r="G258" s="169" t="s">
        <v>1534</v>
      </c>
      <c r="H258" s="169" t="s">
        <v>848</v>
      </c>
      <c r="I258" s="169" t="s">
        <v>1982</v>
      </c>
      <c r="J258" s="171"/>
    </row>
    <row r="259" spans="1:10" ht="19.5" customHeight="1">
      <c r="A259" s="167" t="s">
        <v>2010</v>
      </c>
      <c r="B259" s="168" t="str">
        <f>RIGHT("a12035368",LEN("a12035368")-1)</f>
        <v>12035368</v>
      </c>
      <c r="C259" s="169" t="s">
        <v>2011</v>
      </c>
      <c r="D259" s="170">
        <v>28311</v>
      </c>
      <c r="E259" s="169" t="s">
        <v>1533</v>
      </c>
      <c r="F259" s="168">
        <f t="shared" si="4"/>
      </c>
      <c r="G259" s="169" t="s">
        <v>1534</v>
      </c>
      <c r="H259" s="169" t="s">
        <v>848</v>
      </c>
      <c r="I259" s="169" t="s">
        <v>1982</v>
      </c>
      <c r="J259" s="171"/>
    </row>
    <row r="260" spans="1:10" ht="19.5" customHeight="1">
      <c r="A260" s="167" t="s">
        <v>2012</v>
      </c>
      <c r="B260" s="168" t="str">
        <f>RIGHT("a12035789",LEN("a12035789")-1)</f>
        <v>12035789</v>
      </c>
      <c r="C260" s="169" t="s">
        <v>2013</v>
      </c>
      <c r="D260" s="170">
        <v>28567</v>
      </c>
      <c r="E260" s="169" t="s">
        <v>1533</v>
      </c>
      <c r="F260" s="168">
        <f t="shared" si="4"/>
      </c>
      <c r="G260" s="169" t="s">
        <v>1534</v>
      </c>
      <c r="H260" s="169" t="s">
        <v>848</v>
      </c>
      <c r="I260" s="169" t="s">
        <v>1982</v>
      </c>
      <c r="J260" s="171"/>
    </row>
    <row r="261" spans="1:10" ht="19.5" customHeight="1">
      <c r="A261" s="167" t="s">
        <v>2014</v>
      </c>
      <c r="B261" s="168" t="str">
        <f>RIGHT("a12035791",LEN("a12035791")-1)</f>
        <v>12035791</v>
      </c>
      <c r="C261" s="169" t="s">
        <v>2015</v>
      </c>
      <c r="D261" s="170">
        <v>31170</v>
      </c>
      <c r="E261" s="169" t="s">
        <v>1533</v>
      </c>
      <c r="F261" s="168">
        <f t="shared" si="4"/>
      </c>
      <c r="G261" s="169" t="s">
        <v>1534</v>
      </c>
      <c r="H261" s="169" t="s">
        <v>848</v>
      </c>
      <c r="I261" s="169" t="s">
        <v>1982</v>
      </c>
      <c r="J261" s="171"/>
    </row>
    <row r="262" spans="1:10" ht="19.5" customHeight="1">
      <c r="A262" s="167" t="s">
        <v>2016</v>
      </c>
      <c r="B262" s="168" t="str">
        <f>RIGHT("a12035079",LEN("a12035079")-1)</f>
        <v>12035079</v>
      </c>
      <c r="C262" s="169" t="s">
        <v>2017</v>
      </c>
      <c r="D262" s="170">
        <v>31985</v>
      </c>
      <c r="E262" s="169" t="s">
        <v>1533</v>
      </c>
      <c r="F262" s="168">
        <f t="shared" si="4"/>
      </c>
      <c r="G262" s="169" t="s">
        <v>1534</v>
      </c>
      <c r="H262" s="169" t="s">
        <v>848</v>
      </c>
      <c r="I262" s="169" t="s">
        <v>1982</v>
      </c>
      <c r="J262" s="171"/>
    </row>
    <row r="263" spans="1:10" ht="19.5" customHeight="1">
      <c r="A263" s="167" t="s">
        <v>2018</v>
      </c>
      <c r="B263" s="168" t="str">
        <f>RIGHT("a12035369",LEN("a12035369")-1)</f>
        <v>12035369</v>
      </c>
      <c r="C263" s="169" t="s">
        <v>2019</v>
      </c>
      <c r="D263" s="170">
        <v>31844</v>
      </c>
      <c r="E263" s="169" t="s">
        <v>1533</v>
      </c>
      <c r="F263" s="168">
        <f t="shared" si="4"/>
      </c>
      <c r="G263" s="169" t="s">
        <v>1534</v>
      </c>
      <c r="H263" s="169" t="s">
        <v>848</v>
      </c>
      <c r="I263" s="169" t="s">
        <v>1982</v>
      </c>
      <c r="J263" s="171"/>
    </row>
    <row r="264" spans="1:10" ht="19.5" customHeight="1">
      <c r="A264" s="167" t="s">
        <v>2020</v>
      </c>
      <c r="B264" s="168" t="str">
        <f>RIGHT("a12035364",LEN("a12035364")-1)</f>
        <v>12035364</v>
      </c>
      <c r="C264" s="169" t="s">
        <v>2021</v>
      </c>
      <c r="D264" s="170">
        <v>29226</v>
      </c>
      <c r="E264" s="169" t="s">
        <v>1533</v>
      </c>
      <c r="F264" s="168">
        <f t="shared" si="4"/>
      </c>
      <c r="G264" s="169" t="s">
        <v>1534</v>
      </c>
      <c r="H264" s="169" t="s">
        <v>848</v>
      </c>
      <c r="I264" s="169" t="s">
        <v>1982</v>
      </c>
      <c r="J264" s="171"/>
    </row>
    <row r="265" spans="1:10" ht="19.5" customHeight="1">
      <c r="A265" s="167" t="s">
        <v>2022</v>
      </c>
      <c r="B265" s="168" t="str">
        <f>RIGHT("a12035370",LEN("a12035370")-1)</f>
        <v>12035370</v>
      </c>
      <c r="C265" s="169" t="s">
        <v>2023</v>
      </c>
      <c r="D265" s="170">
        <v>29204</v>
      </c>
      <c r="E265" s="169" t="s">
        <v>1533</v>
      </c>
      <c r="F265" s="168">
        <f t="shared" si="4"/>
      </c>
      <c r="G265" s="169" t="s">
        <v>1534</v>
      </c>
      <c r="H265" s="169" t="s">
        <v>848</v>
      </c>
      <c r="I265" s="169" t="s">
        <v>1982</v>
      </c>
      <c r="J265" s="171"/>
    </row>
    <row r="266" spans="1:10" ht="19.5" customHeight="1">
      <c r="A266" s="167" t="s">
        <v>2024</v>
      </c>
      <c r="B266" s="168" t="str">
        <f>RIGHT("a12035365",LEN("a12035365")-1)</f>
        <v>12035365</v>
      </c>
      <c r="C266" s="169" t="s">
        <v>2025</v>
      </c>
      <c r="D266" s="170">
        <v>30624</v>
      </c>
      <c r="E266" s="169" t="s">
        <v>1533</v>
      </c>
      <c r="F266" s="168">
        <f t="shared" si="4"/>
      </c>
      <c r="G266" s="169" t="s">
        <v>1534</v>
      </c>
      <c r="H266" s="169" t="s">
        <v>848</v>
      </c>
      <c r="I266" s="169" t="s">
        <v>1982</v>
      </c>
      <c r="J266" s="171"/>
    </row>
    <row r="267" spans="1:10" ht="19.5" customHeight="1">
      <c r="A267" s="167" t="s">
        <v>2026</v>
      </c>
      <c r="B267" s="168" t="str">
        <f>RIGHT("a12035374",LEN("a12035374")-1)</f>
        <v>12035374</v>
      </c>
      <c r="C267" s="169" t="s">
        <v>2027</v>
      </c>
      <c r="D267" s="170">
        <v>27947</v>
      </c>
      <c r="E267" s="169" t="s">
        <v>1533</v>
      </c>
      <c r="F267" s="168">
        <f t="shared" si="4"/>
      </c>
      <c r="G267" s="169" t="s">
        <v>1534</v>
      </c>
      <c r="H267" s="169" t="s">
        <v>848</v>
      </c>
      <c r="I267" s="169" t="s">
        <v>1982</v>
      </c>
      <c r="J267" s="171"/>
    </row>
    <row r="268" spans="1:10" ht="19.5" customHeight="1">
      <c r="A268" s="167" t="s">
        <v>2028</v>
      </c>
      <c r="B268" s="168" t="str">
        <f>RIGHT("a12035080",LEN("a12035080")-1)</f>
        <v>12035080</v>
      </c>
      <c r="C268" s="169" t="s">
        <v>2029</v>
      </c>
      <c r="D268" s="170">
        <v>29824</v>
      </c>
      <c r="E268" s="169" t="s">
        <v>1533</v>
      </c>
      <c r="F268" s="168">
        <f t="shared" si="4"/>
      </c>
      <c r="G268" s="169" t="s">
        <v>1534</v>
      </c>
      <c r="H268" s="169" t="s">
        <v>848</v>
      </c>
      <c r="I268" s="169" t="s">
        <v>1982</v>
      </c>
      <c r="J268" s="171"/>
    </row>
    <row r="269" spans="1:10" ht="19.5" customHeight="1">
      <c r="A269" s="167" t="s">
        <v>2030</v>
      </c>
      <c r="B269" s="168" t="str">
        <f>RIGHT("a12035081",LEN("a12035081")-1)</f>
        <v>12035081</v>
      </c>
      <c r="C269" s="169" t="s">
        <v>2031</v>
      </c>
      <c r="D269" s="170">
        <v>31376</v>
      </c>
      <c r="E269" s="169" t="s">
        <v>1533</v>
      </c>
      <c r="F269" s="168">
        <f t="shared" si="4"/>
      </c>
      <c r="G269" s="169" t="s">
        <v>1534</v>
      </c>
      <c r="H269" s="169" t="s">
        <v>848</v>
      </c>
      <c r="I269" s="169" t="s">
        <v>1982</v>
      </c>
      <c r="J269" s="171"/>
    </row>
    <row r="270" spans="1:10" ht="19.5" customHeight="1">
      <c r="A270" s="167" t="s">
        <v>2032</v>
      </c>
      <c r="B270" s="168" t="str">
        <f>RIGHT("a12035082",LEN("a12035082")-1)</f>
        <v>12035082</v>
      </c>
      <c r="C270" s="169" t="s">
        <v>2033</v>
      </c>
      <c r="D270" s="170">
        <v>27740</v>
      </c>
      <c r="E270" s="169" t="s">
        <v>95</v>
      </c>
      <c r="F270" s="168">
        <f t="shared" si="4"/>
      </c>
      <c r="G270" s="169" t="s">
        <v>1534</v>
      </c>
      <c r="H270" s="169" t="s">
        <v>848</v>
      </c>
      <c r="I270" s="169" t="s">
        <v>1982</v>
      </c>
      <c r="J270" s="171"/>
    </row>
    <row r="271" spans="1:10" ht="19.5" customHeight="1">
      <c r="A271" s="167" t="s">
        <v>2034</v>
      </c>
      <c r="B271" s="168" t="str">
        <f>RIGHT("a12035359",LEN("a12035359")-1)</f>
        <v>12035359</v>
      </c>
      <c r="C271" s="169" t="s">
        <v>2035</v>
      </c>
      <c r="D271" s="170">
        <v>31724</v>
      </c>
      <c r="E271" s="169" t="s">
        <v>1533</v>
      </c>
      <c r="F271" s="168">
        <f t="shared" si="4"/>
      </c>
      <c r="G271" s="169" t="s">
        <v>1534</v>
      </c>
      <c r="H271" s="169" t="s">
        <v>848</v>
      </c>
      <c r="I271" s="169" t="s">
        <v>1982</v>
      </c>
      <c r="J271" s="171"/>
    </row>
    <row r="272" spans="1:10" ht="19.5" customHeight="1">
      <c r="A272" s="167" t="s">
        <v>2036</v>
      </c>
      <c r="B272" s="168" t="str">
        <f>RIGHT("a12035083",LEN("a12035083")-1)</f>
        <v>12035083</v>
      </c>
      <c r="C272" s="169" t="s">
        <v>2037</v>
      </c>
      <c r="D272" s="170">
        <v>31334</v>
      </c>
      <c r="E272" s="169" t="s">
        <v>1533</v>
      </c>
      <c r="F272" s="168">
        <f t="shared" si="4"/>
      </c>
      <c r="G272" s="169" t="s">
        <v>1534</v>
      </c>
      <c r="H272" s="169" t="s">
        <v>848</v>
      </c>
      <c r="I272" s="169" t="s">
        <v>1982</v>
      </c>
      <c r="J272" s="171"/>
    </row>
    <row r="273" spans="1:10" ht="19.5" customHeight="1">
      <c r="A273" s="167" t="s">
        <v>2038</v>
      </c>
      <c r="B273" s="168" t="str">
        <f>RIGHT("a12035693",LEN("a12035693")-1)</f>
        <v>12035693</v>
      </c>
      <c r="C273" s="169" t="s">
        <v>2039</v>
      </c>
      <c r="D273" s="170">
        <v>28297</v>
      </c>
      <c r="E273" s="169" t="s">
        <v>95</v>
      </c>
      <c r="F273" s="168">
        <f t="shared" si="4"/>
      </c>
      <c r="G273" s="169" t="s">
        <v>1534</v>
      </c>
      <c r="H273" s="169" t="s">
        <v>848</v>
      </c>
      <c r="I273" s="169" t="s">
        <v>1982</v>
      </c>
      <c r="J273" s="171"/>
    </row>
    <row r="274" spans="1:10" ht="19.5" customHeight="1">
      <c r="A274" s="167" t="s">
        <v>2040</v>
      </c>
      <c r="B274" s="168" t="str">
        <f>RIGHT("a12035084",LEN("a12035084")-1)</f>
        <v>12035084</v>
      </c>
      <c r="C274" s="169" t="s">
        <v>2041</v>
      </c>
      <c r="D274" s="170">
        <v>31026</v>
      </c>
      <c r="E274" s="169" t="s">
        <v>1533</v>
      </c>
      <c r="F274" s="168">
        <f t="shared" si="4"/>
      </c>
      <c r="G274" s="169" t="s">
        <v>1534</v>
      </c>
      <c r="H274" s="169" t="s">
        <v>848</v>
      </c>
      <c r="I274" s="169" t="s">
        <v>1982</v>
      </c>
      <c r="J274" s="171"/>
    </row>
    <row r="275" spans="1:10" ht="19.5" customHeight="1">
      <c r="A275" s="167" t="s">
        <v>2042</v>
      </c>
      <c r="B275" s="168" t="str">
        <f>RIGHT("a12035085",LEN("a12035085")-1)</f>
        <v>12035085</v>
      </c>
      <c r="C275" s="169" t="s">
        <v>2043</v>
      </c>
      <c r="D275" s="170">
        <v>31112</v>
      </c>
      <c r="E275" s="169" t="s">
        <v>1533</v>
      </c>
      <c r="F275" s="168">
        <f t="shared" si="4"/>
      </c>
      <c r="G275" s="169" t="s">
        <v>1534</v>
      </c>
      <c r="H275" s="169" t="s">
        <v>848</v>
      </c>
      <c r="I275" s="169" t="s">
        <v>1982</v>
      </c>
      <c r="J275" s="171"/>
    </row>
    <row r="276" spans="1:10" ht="19.5" customHeight="1">
      <c r="A276" s="167" t="s">
        <v>2044</v>
      </c>
      <c r="B276" s="168" t="str">
        <f>RIGHT("a12035357",LEN("a12035357")-1)</f>
        <v>12035357</v>
      </c>
      <c r="C276" s="169" t="s">
        <v>2045</v>
      </c>
      <c r="D276" s="170">
        <v>32012</v>
      </c>
      <c r="E276" s="169" t="s">
        <v>1533</v>
      </c>
      <c r="F276" s="168">
        <f t="shared" si="4"/>
      </c>
      <c r="G276" s="169" t="s">
        <v>1534</v>
      </c>
      <c r="H276" s="169" t="s">
        <v>848</v>
      </c>
      <c r="I276" s="169" t="s">
        <v>1982</v>
      </c>
      <c r="J276" s="171"/>
    </row>
    <row r="277" spans="1:10" ht="19.5" customHeight="1">
      <c r="A277" s="167" t="s">
        <v>2046</v>
      </c>
      <c r="B277" s="168" t="str">
        <f>RIGHT("a12035086",LEN("a12035086")-1)</f>
        <v>12035086</v>
      </c>
      <c r="C277" s="169" t="s">
        <v>2047</v>
      </c>
      <c r="D277" s="170">
        <v>32730</v>
      </c>
      <c r="E277" s="169" t="s">
        <v>95</v>
      </c>
      <c r="F277" s="168">
        <f t="shared" si="4"/>
      </c>
      <c r="G277" s="169" t="s">
        <v>1534</v>
      </c>
      <c r="H277" s="169" t="s">
        <v>848</v>
      </c>
      <c r="I277" s="169" t="s">
        <v>1982</v>
      </c>
      <c r="J277" s="171"/>
    </row>
    <row r="278" spans="1:10" ht="19.5" customHeight="1">
      <c r="A278" s="167" t="s">
        <v>2048</v>
      </c>
      <c r="B278" s="168" t="str">
        <f>RIGHT("a12035375",LEN("a12035375")-1)</f>
        <v>12035375</v>
      </c>
      <c r="C278" s="169" t="s">
        <v>2049</v>
      </c>
      <c r="D278" s="170">
        <v>31963</v>
      </c>
      <c r="E278" s="169" t="s">
        <v>1533</v>
      </c>
      <c r="F278" s="168">
        <f t="shared" si="4"/>
      </c>
      <c r="G278" s="169" t="s">
        <v>1534</v>
      </c>
      <c r="H278" s="169" t="s">
        <v>848</v>
      </c>
      <c r="I278" s="169" t="s">
        <v>1982</v>
      </c>
      <c r="J278" s="171"/>
    </row>
    <row r="279" spans="1:10" ht="19.5" customHeight="1">
      <c r="A279" s="167" t="s">
        <v>2050</v>
      </c>
      <c r="B279" s="168" t="str">
        <f>RIGHT("a12035829",LEN("a12035829")-1)</f>
        <v>12035829</v>
      </c>
      <c r="C279" s="169" t="s">
        <v>2051</v>
      </c>
      <c r="D279" s="170">
        <v>30166</v>
      </c>
      <c r="E279" s="169" t="s">
        <v>95</v>
      </c>
      <c r="F279" s="168">
        <f t="shared" si="4"/>
      </c>
      <c r="G279" s="169" t="s">
        <v>1534</v>
      </c>
      <c r="H279" s="169" t="s">
        <v>848</v>
      </c>
      <c r="I279" s="169" t="s">
        <v>2052</v>
      </c>
      <c r="J279" s="171"/>
    </row>
    <row r="280" spans="1:10" ht="19.5" customHeight="1">
      <c r="A280" s="167" t="s">
        <v>2053</v>
      </c>
      <c r="B280" s="168" t="str">
        <f>RIGHT("a12035830",LEN("a12035830")-1)</f>
        <v>12035830</v>
      </c>
      <c r="C280" s="169" t="s">
        <v>2054</v>
      </c>
      <c r="D280" s="170">
        <v>30695</v>
      </c>
      <c r="E280" s="169" t="s">
        <v>1533</v>
      </c>
      <c r="F280" s="168">
        <f t="shared" si="4"/>
      </c>
      <c r="G280" s="169" t="s">
        <v>1534</v>
      </c>
      <c r="H280" s="169" t="s">
        <v>848</v>
      </c>
      <c r="I280" s="169" t="s">
        <v>2052</v>
      </c>
      <c r="J280" s="171"/>
    </row>
    <row r="281" spans="1:10" ht="19.5" customHeight="1">
      <c r="A281" s="167" t="s">
        <v>2055</v>
      </c>
      <c r="B281" s="168" t="str">
        <f>RIGHT("a12035831",LEN("a12035831")-1)</f>
        <v>12035831</v>
      </c>
      <c r="C281" s="169" t="s">
        <v>2056</v>
      </c>
      <c r="D281" s="170">
        <v>31470</v>
      </c>
      <c r="E281" s="169" t="s">
        <v>1533</v>
      </c>
      <c r="F281" s="168">
        <f t="shared" si="4"/>
      </c>
      <c r="G281" s="169" t="s">
        <v>1534</v>
      </c>
      <c r="H281" s="169" t="s">
        <v>848</v>
      </c>
      <c r="I281" s="169" t="s">
        <v>2052</v>
      </c>
      <c r="J281" s="171"/>
    </row>
    <row r="282" spans="1:10" ht="19.5" customHeight="1">
      <c r="A282" s="167" t="s">
        <v>2057</v>
      </c>
      <c r="B282" s="168" t="str">
        <f>RIGHT("a12035933",LEN("a12035933")-1)</f>
        <v>12035933</v>
      </c>
      <c r="C282" s="169" t="s">
        <v>2058</v>
      </c>
      <c r="D282" s="170">
        <v>27584</v>
      </c>
      <c r="E282" s="169" t="s">
        <v>95</v>
      </c>
      <c r="F282" s="168">
        <f t="shared" si="4"/>
      </c>
      <c r="G282" s="169" t="s">
        <v>1534</v>
      </c>
      <c r="H282" s="169" t="s">
        <v>848</v>
      </c>
      <c r="I282" s="169" t="s">
        <v>2052</v>
      </c>
      <c r="J282" s="171"/>
    </row>
    <row r="283" spans="1:10" ht="19.5" customHeight="1">
      <c r="A283" s="167" t="s">
        <v>2059</v>
      </c>
      <c r="B283" s="168" t="str">
        <f>RIGHT("a12035834",LEN("a12035834")-1)</f>
        <v>12035834</v>
      </c>
      <c r="C283" s="169" t="s">
        <v>2060</v>
      </c>
      <c r="D283" s="170">
        <v>26466</v>
      </c>
      <c r="E283" s="169" t="s">
        <v>1533</v>
      </c>
      <c r="F283" s="168">
        <f t="shared" si="4"/>
      </c>
      <c r="G283" s="169" t="s">
        <v>1534</v>
      </c>
      <c r="H283" s="169" t="s">
        <v>848</v>
      </c>
      <c r="I283" s="169" t="s">
        <v>2052</v>
      </c>
      <c r="J283" s="171"/>
    </row>
    <row r="284" spans="1:10" ht="19.5" customHeight="1">
      <c r="A284" s="167" t="s">
        <v>2061</v>
      </c>
      <c r="B284" s="168" t="str">
        <f>RIGHT("a12035835",LEN("a12035835")-1)</f>
        <v>12035835</v>
      </c>
      <c r="C284" s="169" t="s">
        <v>2062</v>
      </c>
      <c r="D284" s="170">
        <v>31413</v>
      </c>
      <c r="E284" s="169" t="s">
        <v>1533</v>
      </c>
      <c r="F284" s="168">
        <f t="shared" si="4"/>
      </c>
      <c r="G284" s="169" t="s">
        <v>1534</v>
      </c>
      <c r="H284" s="169" t="s">
        <v>848</v>
      </c>
      <c r="I284" s="169" t="s">
        <v>2052</v>
      </c>
      <c r="J284" s="171"/>
    </row>
    <row r="285" spans="1:10" ht="19.5" customHeight="1">
      <c r="A285" s="167" t="s">
        <v>2063</v>
      </c>
      <c r="B285" s="168" t="str">
        <f>RIGHT("a12035832",LEN("a12035832")-1)</f>
        <v>12035832</v>
      </c>
      <c r="C285" s="169" t="s">
        <v>2064</v>
      </c>
      <c r="D285" s="170">
        <v>31566</v>
      </c>
      <c r="E285" s="169" t="s">
        <v>1533</v>
      </c>
      <c r="F285" s="168">
        <f t="shared" si="4"/>
      </c>
      <c r="G285" s="169" t="s">
        <v>1534</v>
      </c>
      <c r="H285" s="169" t="s">
        <v>848</v>
      </c>
      <c r="I285" s="169" t="s">
        <v>2052</v>
      </c>
      <c r="J285" s="171"/>
    </row>
    <row r="286" spans="1:10" ht="19.5" customHeight="1">
      <c r="A286" s="167" t="s">
        <v>2065</v>
      </c>
      <c r="B286" s="168" t="str">
        <f>RIGHT("a12035833",LEN("a12035833")-1)</f>
        <v>12035833</v>
      </c>
      <c r="C286" s="169" t="s">
        <v>2066</v>
      </c>
      <c r="D286" s="170">
        <v>28408</v>
      </c>
      <c r="E286" s="169" t="s">
        <v>1533</v>
      </c>
      <c r="F286" s="168">
        <f t="shared" si="4"/>
      </c>
      <c r="G286" s="169" t="s">
        <v>1534</v>
      </c>
      <c r="H286" s="169" t="s">
        <v>848</v>
      </c>
      <c r="I286" s="169" t="s">
        <v>2052</v>
      </c>
      <c r="J286" s="171"/>
    </row>
    <row r="287" spans="1:10" ht="19.5" customHeight="1">
      <c r="A287" s="167" t="s">
        <v>2067</v>
      </c>
      <c r="B287" s="168" t="str">
        <f>RIGHT("a12035931",LEN("a12035931")-1)</f>
        <v>12035931</v>
      </c>
      <c r="C287" s="169" t="s">
        <v>2068</v>
      </c>
      <c r="D287" s="170">
        <v>30690</v>
      </c>
      <c r="E287" s="169" t="s">
        <v>95</v>
      </c>
      <c r="F287" s="168">
        <f t="shared" si="4"/>
      </c>
      <c r="G287" s="169" t="s">
        <v>1534</v>
      </c>
      <c r="H287" s="169" t="s">
        <v>848</v>
      </c>
      <c r="I287" s="169" t="s">
        <v>2052</v>
      </c>
      <c r="J287" s="171"/>
    </row>
    <row r="288" spans="1:10" ht="19.5" customHeight="1">
      <c r="A288" s="167" t="s">
        <v>2069</v>
      </c>
      <c r="B288" s="168" t="str">
        <f>RIGHT("a12035836",LEN("a12035836")-1)</f>
        <v>12035836</v>
      </c>
      <c r="C288" s="169" t="s">
        <v>2070</v>
      </c>
      <c r="D288" s="170">
        <v>32410</v>
      </c>
      <c r="E288" s="169" t="s">
        <v>1533</v>
      </c>
      <c r="F288" s="168">
        <f t="shared" si="4"/>
      </c>
      <c r="G288" s="169" t="s">
        <v>1534</v>
      </c>
      <c r="H288" s="169" t="s">
        <v>848</v>
      </c>
      <c r="I288" s="169" t="s">
        <v>2052</v>
      </c>
      <c r="J288" s="171"/>
    </row>
    <row r="289" spans="1:10" ht="19.5" customHeight="1">
      <c r="A289" s="167" t="s">
        <v>2071</v>
      </c>
      <c r="B289" s="168" t="str">
        <f>RIGHT("a12035837",LEN("a12035837")-1)</f>
        <v>12035837</v>
      </c>
      <c r="C289" s="169" t="s">
        <v>2072</v>
      </c>
      <c r="D289" s="170">
        <v>31778</v>
      </c>
      <c r="E289" s="169" t="s">
        <v>95</v>
      </c>
      <c r="F289" s="168">
        <f t="shared" si="4"/>
      </c>
      <c r="G289" s="169" t="s">
        <v>1534</v>
      </c>
      <c r="H289" s="169" t="s">
        <v>848</v>
      </c>
      <c r="I289" s="169" t="s">
        <v>2052</v>
      </c>
      <c r="J289" s="171"/>
    </row>
    <row r="290" spans="1:10" ht="19.5" customHeight="1">
      <c r="A290" s="167" t="s">
        <v>2073</v>
      </c>
      <c r="B290" s="168" t="str">
        <f>RIGHT("a12035838",LEN("a12035838")-1)</f>
        <v>12035838</v>
      </c>
      <c r="C290" s="169" t="s">
        <v>2074</v>
      </c>
      <c r="D290" s="170">
        <v>31075</v>
      </c>
      <c r="E290" s="169" t="s">
        <v>1533</v>
      </c>
      <c r="F290" s="168">
        <f t="shared" si="4"/>
      </c>
      <c r="G290" s="169" t="s">
        <v>1534</v>
      </c>
      <c r="H290" s="169" t="s">
        <v>848</v>
      </c>
      <c r="I290" s="169" t="s">
        <v>2052</v>
      </c>
      <c r="J290" s="171"/>
    </row>
    <row r="291" spans="1:10" ht="19.5" customHeight="1">
      <c r="A291" s="167" t="s">
        <v>2075</v>
      </c>
      <c r="B291" s="168" t="str">
        <f>RIGHT("a12035839",LEN("a12035839")-1)</f>
        <v>12035839</v>
      </c>
      <c r="C291" s="169" t="s">
        <v>2076</v>
      </c>
      <c r="D291" s="170">
        <v>32365</v>
      </c>
      <c r="E291" s="169" t="s">
        <v>1533</v>
      </c>
      <c r="F291" s="168">
        <f t="shared" si="4"/>
      </c>
      <c r="G291" s="169" t="s">
        <v>1534</v>
      </c>
      <c r="H291" s="169" t="s">
        <v>848</v>
      </c>
      <c r="I291" s="169" t="s">
        <v>2052</v>
      </c>
      <c r="J291" s="171"/>
    </row>
    <row r="292" spans="1:10" ht="19.5" customHeight="1">
      <c r="A292" s="167" t="s">
        <v>2077</v>
      </c>
      <c r="B292" s="168" t="str">
        <f>RIGHT("a12035840",LEN("a12035840")-1)</f>
        <v>12035840</v>
      </c>
      <c r="C292" s="169" t="s">
        <v>2078</v>
      </c>
      <c r="D292" s="170">
        <v>31622</v>
      </c>
      <c r="E292" s="169" t="s">
        <v>1533</v>
      </c>
      <c r="F292" s="168">
        <f t="shared" si="4"/>
      </c>
      <c r="G292" s="169" t="s">
        <v>1534</v>
      </c>
      <c r="H292" s="169" t="s">
        <v>848</v>
      </c>
      <c r="I292" s="169" t="s">
        <v>2052</v>
      </c>
      <c r="J292" s="171"/>
    </row>
    <row r="293" spans="1:10" ht="19.5" customHeight="1">
      <c r="A293" s="167" t="s">
        <v>2079</v>
      </c>
      <c r="B293" s="168" t="str">
        <f>RIGHT("a12035841",LEN("a12035841")-1)</f>
        <v>12035841</v>
      </c>
      <c r="C293" s="169" t="s">
        <v>2080</v>
      </c>
      <c r="D293" s="170">
        <v>31277</v>
      </c>
      <c r="E293" s="169" t="s">
        <v>95</v>
      </c>
      <c r="F293" s="168">
        <f t="shared" si="4"/>
      </c>
      <c r="G293" s="169" t="s">
        <v>1534</v>
      </c>
      <c r="H293" s="169" t="s">
        <v>848</v>
      </c>
      <c r="I293" s="169" t="s">
        <v>2052</v>
      </c>
      <c r="J293" s="171"/>
    </row>
    <row r="294" spans="1:10" ht="19.5" customHeight="1">
      <c r="A294" s="167" t="s">
        <v>2081</v>
      </c>
      <c r="B294" s="168" t="str">
        <f>RIGHT("a12035842",LEN("a12035842")-1)</f>
        <v>12035842</v>
      </c>
      <c r="C294" s="169" t="s">
        <v>2082</v>
      </c>
      <c r="D294" s="170">
        <v>32741</v>
      </c>
      <c r="E294" s="169" t="s">
        <v>1533</v>
      </c>
      <c r="F294" s="168">
        <f t="shared" si="4"/>
      </c>
      <c r="G294" s="169" t="s">
        <v>1534</v>
      </c>
      <c r="H294" s="169" t="s">
        <v>848</v>
      </c>
      <c r="I294" s="169" t="s">
        <v>2052</v>
      </c>
      <c r="J294" s="171"/>
    </row>
    <row r="295" spans="1:10" ht="19.5" customHeight="1">
      <c r="A295" s="167" t="s">
        <v>2083</v>
      </c>
      <c r="B295" s="168" t="str">
        <f>RIGHT("a12035843",LEN("a12035843")-1)</f>
        <v>12035843</v>
      </c>
      <c r="C295" s="169" t="s">
        <v>2084</v>
      </c>
      <c r="D295" s="170">
        <v>28236</v>
      </c>
      <c r="E295" s="169" t="s">
        <v>1533</v>
      </c>
      <c r="F295" s="168">
        <f t="shared" si="4"/>
      </c>
      <c r="G295" s="169" t="s">
        <v>1534</v>
      </c>
      <c r="H295" s="169" t="s">
        <v>848</v>
      </c>
      <c r="I295" s="169" t="s">
        <v>2052</v>
      </c>
      <c r="J295" s="171"/>
    </row>
    <row r="296" spans="1:10" ht="19.5" customHeight="1">
      <c r="A296" s="167" t="s">
        <v>2085</v>
      </c>
      <c r="B296" s="168" t="str">
        <f>RIGHT("a12035844",LEN("a12035844")-1)</f>
        <v>12035844</v>
      </c>
      <c r="C296" s="169" t="s">
        <v>2086</v>
      </c>
      <c r="D296" s="170">
        <v>32395</v>
      </c>
      <c r="E296" s="169" t="s">
        <v>95</v>
      </c>
      <c r="F296" s="168">
        <f t="shared" si="4"/>
      </c>
      <c r="G296" s="169" t="s">
        <v>1534</v>
      </c>
      <c r="H296" s="169" t="s">
        <v>848</v>
      </c>
      <c r="I296" s="169" t="s">
        <v>2052</v>
      </c>
      <c r="J296" s="171"/>
    </row>
    <row r="297" spans="1:10" ht="19.5" customHeight="1">
      <c r="A297" s="167" t="s">
        <v>2087</v>
      </c>
      <c r="B297" s="168" t="str">
        <f>RIGHT("a12035845",LEN("a12035845")-1)</f>
        <v>12035845</v>
      </c>
      <c r="C297" s="169" t="s">
        <v>2088</v>
      </c>
      <c r="D297" s="170">
        <v>28661</v>
      </c>
      <c r="E297" s="169" t="s">
        <v>1533</v>
      </c>
      <c r="F297" s="168">
        <f t="shared" si="4"/>
      </c>
      <c r="G297" s="169" t="s">
        <v>1534</v>
      </c>
      <c r="H297" s="169" t="s">
        <v>848</v>
      </c>
      <c r="I297" s="169" t="s">
        <v>2052</v>
      </c>
      <c r="J297" s="171"/>
    </row>
    <row r="298" spans="1:10" ht="19.5" customHeight="1">
      <c r="A298" s="167" t="s">
        <v>2089</v>
      </c>
      <c r="B298" s="168" t="str">
        <f>RIGHT("a12035846",LEN("a12035846")-1)</f>
        <v>12035846</v>
      </c>
      <c r="C298" s="169" t="s">
        <v>2090</v>
      </c>
      <c r="D298" s="170">
        <v>31949</v>
      </c>
      <c r="E298" s="169" t="s">
        <v>95</v>
      </c>
      <c r="F298" s="168">
        <f t="shared" si="4"/>
      </c>
      <c r="G298" s="169" t="s">
        <v>1534</v>
      </c>
      <c r="H298" s="169" t="s">
        <v>848</v>
      </c>
      <c r="I298" s="169" t="s">
        <v>2052</v>
      </c>
      <c r="J298" s="171"/>
    </row>
    <row r="299" spans="1:10" ht="19.5" customHeight="1">
      <c r="A299" s="167" t="s">
        <v>2091</v>
      </c>
      <c r="B299" s="168" t="str">
        <f>RIGHT("a12035847",LEN("a12035847")-1)</f>
        <v>12035847</v>
      </c>
      <c r="C299" s="169" t="s">
        <v>2092</v>
      </c>
      <c r="D299" s="170">
        <v>24838</v>
      </c>
      <c r="E299" s="169" t="s">
        <v>95</v>
      </c>
      <c r="F299" s="168">
        <f t="shared" si="4"/>
      </c>
      <c r="G299" s="169" t="s">
        <v>1534</v>
      </c>
      <c r="H299" s="169" t="s">
        <v>848</v>
      </c>
      <c r="I299" s="169" t="s">
        <v>2052</v>
      </c>
      <c r="J299" s="171"/>
    </row>
    <row r="300" spans="1:10" ht="19.5" customHeight="1">
      <c r="A300" s="167" t="s">
        <v>2093</v>
      </c>
      <c r="B300" s="168" t="str">
        <f>RIGHT("a12035848",LEN("a12035848")-1)</f>
        <v>12035848</v>
      </c>
      <c r="C300" s="169" t="s">
        <v>2094</v>
      </c>
      <c r="D300" s="170">
        <v>30820</v>
      </c>
      <c r="E300" s="169" t="s">
        <v>1533</v>
      </c>
      <c r="F300" s="168">
        <f t="shared" si="4"/>
      </c>
      <c r="G300" s="169" t="s">
        <v>1534</v>
      </c>
      <c r="H300" s="169" t="s">
        <v>848</v>
      </c>
      <c r="I300" s="169" t="s">
        <v>2052</v>
      </c>
      <c r="J300" s="171"/>
    </row>
    <row r="301" spans="1:10" ht="19.5" customHeight="1">
      <c r="A301" s="167" t="s">
        <v>2095</v>
      </c>
      <c r="B301" s="168" t="str">
        <f>RIGHT("a12035849",LEN("a12035849")-1)</f>
        <v>12035849</v>
      </c>
      <c r="C301" s="169" t="s">
        <v>2096</v>
      </c>
      <c r="D301" s="170">
        <v>32225</v>
      </c>
      <c r="E301" s="169" t="s">
        <v>1533</v>
      </c>
      <c r="F301" s="168">
        <f t="shared" si="4"/>
      </c>
      <c r="G301" s="169" t="s">
        <v>1534</v>
      </c>
      <c r="H301" s="169" t="s">
        <v>848</v>
      </c>
      <c r="I301" s="169" t="s">
        <v>2052</v>
      </c>
      <c r="J301" s="171"/>
    </row>
    <row r="302" spans="1:10" ht="19.5" customHeight="1">
      <c r="A302" s="167" t="s">
        <v>2097</v>
      </c>
      <c r="B302" s="168" t="str">
        <f>RIGHT("a12035850",LEN("a12035850")-1)</f>
        <v>12035850</v>
      </c>
      <c r="C302" s="169" t="s">
        <v>2098</v>
      </c>
      <c r="D302" s="170">
        <v>32577</v>
      </c>
      <c r="E302" s="169" t="s">
        <v>95</v>
      </c>
      <c r="F302" s="168">
        <f t="shared" si="4"/>
      </c>
      <c r="G302" s="169" t="s">
        <v>1534</v>
      </c>
      <c r="H302" s="169" t="s">
        <v>848</v>
      </c>
      <c r="I302" s="169" t="s">
        <v>2052</v>
      </c>
      <c r="J302" s="171"/>
    </row>
    <row r="303" spans="1:10" ht="19.5" customHeight="1">
      <c r="A303" s="167" t="s">
        <v>2099</v>
      </c>
      <c r="B303" s="168" t="str">
        <f>RIGHT("a12035932",LEN("a12035932")-1)</f>
        <v>12035932</v>
      </c>
      <c r="C303" s="169" t="s">
        <v>2100</v>
      </c>
      <c r="D303" s="170">
        <v>28880</v>
      </c>
      <c r="E303" s="169" t="s">
        <v>1533</v>
      </c>
      <c r="F303" s="168">
        <f t="shared" si="4"/>
      </c>
      <c r="G303" s="169" t="s">
        <v>1534</v>
      </c>
      <c r="H303" s="169" t="s">
        <v>848</v>
      </c>
      <c r="I303" s="169" t="s">
        <v>2052</v>
      </c>
      <c r="J303" s="171"/>
    </row>
    <row r="304" spans="1:10" ht="19.5" customHeight="1">
      <c r="A304" s="167" t="s">
        <v>2101</v>
      </c>
      <c r="B304" s="168" t="str">
        <f>RIGHT("a12035851",LEN("a12035851")-1)</f>
        <v>12035851</v>
      </c>
      <c r="C304" s="169" t="s">
        <v>2102</v>
      </c>
      <c r="D304" s="170">
        <v>31663</v>
      </c>
      <c r="E304" s="169" t="s">
        <v>1533</v>
      </c>
      <c r="F304" s="168">
        <f t="shared" si="4"/>
      </c>
      <c r="G304" s="169" t="s">
        <v>1534</v>
      </c>
      <c r="H304" s="169" t="s">
        <v>848</v>
      </c>
      <c r="I304" s="169" t="s">
        <v>2052</v>
      </c>
      <c r="J304" s="171"/>
    </row>
    <row r="305" spans="1:10" ht="19.5" customHeight="1">
      <c r="A305" s="167" t="s">
        <v>2103</v>
      </c>
      <c r="B305" s="168" t="str">
        <f>RIGHT("a12035934",LEN("a12035934")-1)</f>
        <v>12035934</v>
      </c>
      <c r="C305" s="169" t="s">
        <v>2104</v>
      </c>
      <c r="D305" s="170">
        <v>29869</v>
      </c>
      <c r="E305" s="169" t="s">
        <v>95</v>
      </c>
      <c r="F305" s="168">
        <f t="shared" si="4"/>
      </c>
      <c r="G305" s="169" t="s">
        <v>1534</v>
      </c>
      <c r="H305" s="169" t="s">
        <v>848</v>
      </c>
      <c r="I305" s="169" t="s">
        <v>2052</v>
      </c>
      <c r="J305" s="171"/>
    </row>
    <row r="306" spans="1:10" ht="19.5" customHeight="1">
      <c r="A306" s="167" t="s">
        <v>2105</v>
      </c>
      <c r="B306" s="168" t="str">
        <f>RIGHT("a12035852",LEN("a12035852")-1)</f>
        <v>12035852</v>
      </c>
      <c r="C306" s="169" t="s">
        <v>2106</v>
      </c>
      <c r="D306" s="170">
        <v>30317</v>
      </c>
      <c r="E306" s="169" t="s">
        <v>1533</v>
      </c>
      <c r="F306" s="168">
        <f t="shared" si="4"/>
      </c>
      <c r="G306" s="169" t="s">
        <v>1534</v>
      </c>
      <c r="H306" s="169" t="s">
        <v>848</v>
      </c>
      <c r="I306" s="169" t="s">
        <v>2052</v>
      </c>
      <c r="J306" s="171"/>
    </row>
    <row r="307" spans="1:10" ht="19.5" customHeight="1">
      <c r="A307" s="167" t="s">
        <v>2107</v>
      </c>
      <c r="B307" s="168" t="str">
        <f>RIGHT("a12035853",LEN("a12035853")-1)</f>
        <v>12035853</v>
      </c>
      <c r="C307" s="169" t="s">
        <v>2108</v>
      </c>
      <c r="D307" s="170">
        <v>31925</v>
      </c>
      <c r="E307" s="169" t="s">
        <v>95</v>
      </c>
      <c r="F307" s="168">
        <f t="shared" si="4"/>
      </c>
      <c r="G307" s="169" t="s">
        <v>1534</v>
      </c>
      <c r="H307" s="169" t="s">
        <v>848</v>
      </c>
      <c r="I307" s="169" t="s">
        <v>2052</v>
      </c>
      <c r="J307" s="171"/>
    </row>
    <row r="308" spans="1:10" ht="19.5" customHeight="1">
      <c r="A308" s="167" t="s">
        <v>2109</v>
      </c>
      <c r="B308" s="168" t="str">
        <f>RIGHT("a12035855",LEN("a12035855")-1)</f>
        <v>12035855</v>
      </c>
      <c r="C308" s="169" t="s">
        <v>2110</v>
      </c>
      <c r="D308" s="170">
        <v>30714</v>
      </c>
      <c r="E308" s="169" t="s">
        <v>1533</v>
      </c>
      <c r="F308" s="168">
        <f t="shared" si="4"/>
      </c>
      <c r="G308" s="169" t="s">
        <v>1534</v>
      </c>
      <c r="H308" s="169" t="s">
        <v>848</v>
      </c>
      <c r="I308" s="169" t="s">
        <v>2052</v>
      </c>
      <c r="J308" s="171"/>
    </row>
    <row r="309" spans="1:10" ht="19.5" customHeight="1">
      <c r="A309" s="167" t="s">
        <v>2111</v>
      </c>
      <c r="B309" s="168" t="str">
        <f>RIGHT("a12035854",LEN("a12035854")-1)</f>
        <v>12035854</v>
      </c>
      <c r="C309" s="169" t="s">
        <v>2112</v>
      </c>
      <c r="D309" s="170">
        <v>32436</v>
      </c>
      <c r="E309" s="169" t="s">
        <v>1533</v>
      </c>
      <c r="F309" s="168">
        <f t="shared" si="4"/>
      </c>
      <c r="G309" s="169" t="s">
        <v>1534</v>
      </c>
      <c r="H309" s="169" t="s">
        <v>848</v>
      </c>
      <c r="I309" s="169" t="s">
        <v>2052</v>
      </c>
      <c r="J309" s="171"/>
    </row>
    <row r="310" spans="1:10" ht="19.5" customHeight="1">
      <c r="A310" s="167" t="s">
        <v>2113</v>
      </c>
      <c r="B310" s="168" t="str">
        <f>RIGHT("a12035857",LEN("a12035857")-1)</f>
        <v>12035857</v>
      </c>
      <c r="C310" s="169" t="s">
        <v>2114</v>
      </c>
      <c r="D310" s="170">
        <v>31055</v>
      </c>
      <c r="E310" s="169" t="s">
        <v>95</v>
      </c>
      <c r="F310" s="168">
        <f t="shared" si="4"/>
      </c>
      <c r="G310" s="169" t="s">
        <v>1534</v>
      </c>
      <c r="H310" s="169" t="s">
        <v>848</v>
      </c>
      <c r="I310" s="169" t="s">
        <v>2052</v>
      </c>
      <c r="J310" s="171"/>
    </row>
    <row r="311" spans="1:10" ht="19.5" customHeight="1">
      <c r="A311" s="167" t="s">
        <v>2115</v>
      </c>
      <c r="B311" s="168" t="str">
        <f>RIGHT("a12035856",LEN("a12035856")-1)</f>
        <v>12035856</v>
      </c>
      <c r="C311" s="169" t="s">
        <v>2116</v>
      </c>
      <c r="D311" s="170">
        <v>31533</v>
      </c>
      <c r="E311" s="169" t="s">
        <v>95</v>
      </c>
      <c r="F311" s="168">
        <f t="shared" si="4"/>
      </c>
      <c r="G311" s="169" t="s">
        <v>1534</v>
      </c>
      <c r="H311" s="169" t="s">
        <v>848</v>
      </c>
      <c r="I311" s="169" t="s">
        <v>2052</v>
      </c>
      <c r="J311" s="171"/>
    </row>
    <row r="312" spans="1:10" ht="19.5" customHeight="1">
      <c r="A312" s="167" t="s">
        <v>2117</v>
      </c>
      <c r="B312" s="168" t="str">
        <f>RIGHT("a12035858",LEN("a12035858")-1)</f>
        <v>12035858</v>
      </c>
      <c r="C312" s="169" t="s">
        <v>2118</v>
      </c>
      <c r="D312" s="170">
        <v>31963</v>
      </c>
      <c r="E312" s="169" t="s">
        <v>95</v>
      </c>
      <c r="F312" s="168">
        <f t="shared" si="4"/>
      </c>
      <c r="G312" s="169" t="s">
        <v>1534</v>
      </c>
      <c r="H312" s="169" t="s">
        <v>848</v>
      </c>
      <c r="I312" s="169" t="s">
        <v>2052</v>
      </c>
      <c r="J312" s="171"/>
    </row>
    <row r="313" spans="1:10" ht="19.5" customHeight="1">
      <c r="A313" s="167" t="s">
        <v>2119</v>
      </c>
      <c r="B313" s="168" t="str">
        <f>RIGHT("a12035859",LEN("a12035859")-1)</f>
        <v>12035859</v>
      </c>
      <c r="C313" s="169" t="s">
        <v>2120</v>
      </c>
      <c r="D313" s="170">
        <v>32762</v>
      </c>
      <c r="E313" s="169" t="s">
        <v>95</v>
      </c>
      <c r="F313" s="168">
        <f t="shared" si="4"/>
      </c>
      <c r="G313" s="169" t="s">
        <v>1534</v>
      </c>
      <c r="H313" s="169" t="s">
        <v>848</v>
      </c>
      <c r="I313" s="169" t="s">
        <v>2052</v>
      </c>
      <c r="J313" s="171"/>
    </row>
    <row r="314" spans="1:10" ht="19.5" customHeight="1">
      <c r="A314" s="167" t="s">
        <v>2121</v>
      </c>
      <c r="B314" s="168" t="str">
        <f>RIGHT("a12035860",LEN("a12035860")-1)</f>
        <v>12035860</v>
      </c>
      <c r="C314" s="169" t="s">
        <v>2122</v>
      </c>
      <c r="D314" s="170">
        <v>32345</v>
      </c>
      <c r="E314" s="169" t="s">
        <v>1533</v>
      </c>
      <c r="F314" s="168">
        <f t="shared" si="4"/>
      </c>
      <c r="G314" s="169" t="s">
        <v>1534</v>
      </c>
      <c r="H314" s="169" t="s">
        <v>848</v>
      </c>
      <c r="I314" s="169" t="s">
        <v>2052</v>
      </c>
      <c r="J314" s="171"/>
    </row>
    <row r="315" spans="1:10" ht="19.5" customHeight="1">
      <c r="A315" s="167" t="s">
        <v>2123</v>
      </c>
      <c r="B315" s="168" t="str">
        <f>RIGHT("a12035861",LEN("a12035861")-1)</f>
        <v>12035861</v>
      </c>
      <c r="C315" s="169" t="s">
        <v>2124</v>
      </c>
      <c r="D315" s="170">
        <v>30914</v>
      </c>
      <c r="E315" s="169" t="s">
        <v>1533</v>
      </c>
      <c r="F315" s="168">
        <f t="shared" si="4"/>
      </c>
      <c r="G315" s="169" t="s">
        <v>1534</v>
      </c>
      <c r="H315" s="169" t="s">
        <v>848</v>
      </c>
      <c r="I315" s="169" t="s">
        <v>2052</v>
      </c>
      <c r="J315" s="171"/>
    </row>
    <row r="316" spans="1:10" ht="19.5" customHeight="1">
      <c r="A316" s="167" t="s">
        <v>2125</v>
      </c>
      <c r="B316" s="168" t="str">
        <f>RIGHT("a12035862",LEN("a12035862")-1)</f>
        <v>12035862</v>
      </c>
      <c r="C316" s="169" t="s">
        <v>2126</v>
      </c>
      <c r="D316" s="170">
        <v>28127</v>
      </c>
      <c r="E316" s="169" t="s">
        <v>1533</v>
      </c>
      <c r="F316" s="168">
        <f t="shared" si="4"/>
      </c>
      <c r="G316" s="169" t="s">
        <v>1534</v>
      </c>
      <c r="H316" s="169" t="s">
        <v>848</v>
      </c>
      <c r="I316" s="169" t="s">
        <v>2052</v>
      </c>
      <c r="J316" s="171"/>
    </row>
    <row r="317" spans="1:10" ht="19.5" customHeight="1">
      <c r="A317" s="167" t="s">
        <v>2127</v>
      </c>
      <c r="B317" s="168" t="str">
        <f>RIGHT("a12035863",LEN("a12035863")-1)</f>
        <v>12035863</v>
      </c>
      <c r="C317" s="169" t="s">
        <v>2128</v>
      </c>
      <c r="D317" s="170">
        <v>28491</v>
      </c>
      <c r="E317" s="169" t="s">
        <v>1533</v>
      </c>
      <c r="F317" s="168">
        <f t="shared" si="4"/>
      </c>
      <c r="G317" s="169" t="s">
        <v>1534</v>
      </c>
      <c r="H317" s="169" t="s">
        <v>848</v>
      </c>
      <c r="I317" s="169" t="s">
        <v>2052</v>
      </c>
      <c r="J317" s="171"/>
    </row>
    <row r="318" spans="1:10" ht="19.5" customHeight="1">
      <c r="A318" s="167" t="s">
        <v>2129</v>
      </c>
      <c r="B318" s="168" t="str">
        <f>RIGHT("a12035864",LEN("a12035864")-1)</f>
        <v>12035864</v>
      </c>
      <c r="C318" s="169" t="s">
        <v>2130</v>
      </c>
      <c r="D318" s="170">
        <v>32170</v>
      </c>
      <c r="E318" s="169" t="s">
        <v>1533</v>
      </c>
      <c r="F318" s="168">
        <f t="shared" si="4"/>
      </c>
      <c r="G318" s="169" t="s">
        <v>1534</v>
      </c>
      <c r="H318" s="169" t="s">
        <v>848</v>
      </c>
      <c r="I318" s="169" t="s">
        <v>2052</v>
      </c>
      <c r="J318" s="171"/>
    </row>
    <row r="319" spans="1:10" ht="19.5" customHeight="1">
      <c r="A319" s="167" t="s">
        <v>2131</v>
      </c>
      <c r="B319" s="168" t="str">
        <f>RIGHT("a12035726",LEN("a12035726")-1)</f>
        <v>12035726</v>
      </c>
      <c r="C319" s="169" t="s">
        <v>2132</v>
      </c>
      <c r="D319" s="170">
        <v>28116</v>
      </c>
      <c r="E319" s="169" t="s">
        <v>1533</v>
      </c>
      <c r="F319" s="168">
        <f t="shared" si="4"/>
      </c>
      <c r="G319" s="169" t="s">
        <v>1534</v>
      </c>
      <c r="H319" s="169" t="s">
        <v>848</v>
      </c>
      <c r="I319" s="169" t="s">
        <v>2133</v>
      </c>
      <c r="J319" s="171"/>
    </row>
    <row r="320" spans="1:10" ht="19.5" customHeight="1">
      <c r="A320" s="167" t="s">
        <v>2134</v>
      </c>
      <c r="B320" s="168" t="str">
        <f>RIGHT("a12035727",LEN("a12035727")-1)</f>
        <v>12035727</v>
      </c>
      <c r="C320" s="169" t="s">
        <v>2135</v>
      </c>
      <c r="D320" s="170">
        <v>28413</v>
      </c>
      <c r="E320" s="169" t="s">
        <v>1533</v>
      </c>
      <c r="F320" s="168">
        <f t="shared" si="4"/>
      </c>
      <c r="G320" s="169" t="s">
        <v>1534</v>
      </c>
      <c r="H320" s="169" t="s">
        <v>848</v>
      </c>
      <c r="I320" s="169" t="s">
        <v>2133</v>
      </c>
      <c r="J320" s="171"/>
    </row>
    <row r="321" spans="1:10" ht="19.5" customHeight="1">
      <c r="A321" s="167" t="s">
        <v>2136</v>
      </c>
      <c r="B321" s="168" t="str">
        <f>RIGHT("a12035728",LEN("a12035728")-1)</f>
        <v>12035728</v>
      </c>
      <c r="C321" s="169" t="s">
        <v>2137</v>
      </c>
      <c r="D321" s="170">
        <v>29889</v>
      </c>
      <c r="E321" s="169" t="s">
        <v>1533</v>
      </c>
      <c r="F321" s="168">
        <f t="shared" si="4"/>
      </c>
      <c r="G321" s="169" t="s">
        <v>1534</v>
      </c>
      <c r="H321" s="169" t="s">
        <v>848</v>
      </c>
      <c r="I321" s="169" t="s">
        <v>2133</v>
      </c>
      <c r="J321" s="171"/>
    </row>
    <row r="322" spans="1:10" ht="19.5" customHeight="1">
      <c r="A322" s="167" t="s">
        <v>2138</v>
      </c>
      <c r="B322" s="168" t="str">
        <f>RIGHT("a12035729",LEN("a12035729")-1)</f>
        <v>12035729</v>
      </c>
      <c r="C322" s="169" t="s">
        <v>2139</v>
      </c>
      <c r="D322" s="170">
        <v>28682</v>
      </c>
      <c r="E322" s="169" t="s">
        <v>1533</v>
      </c>
      <c r="F322" s="168">
        <f aca="true" t="shared" si="5" ref="F322:F385">RIGHT("a",LEN("a")-1)</f>
      </c>
      <c r="G322" s="169" t="s">
        <v>1534</v>
      </c>
      <c r="H322" s="169" t="s">
        <v>848</v>
      </c>
      <c r="I322" s="169" t="s">
        <v>2133</v>
      </c>
      <c r="J322" s="171"/>
    </row>
    <row r="323" spans="1:10" ht="19.5" customHeight="1">
      <c r="A323" s="167" t="s">
        <v>2140</v>
      </c>
      <c r="B323" s="168" t="str">
        <f>RIGHT("a12035730",LEN("a12035730")-1)</f>
        <v>12035730</v>
      </c>
      <c r="C323" s="169" t="s">
        <v>2009</v>
      </c>
      <c r="D323" s="170">
        <v>30806</v>
      </c>
      <c r="E323" s="169" t="s">
        <v>1533</v>
      </c>
      <c r="F323" s="168">
        <f t="shared" si="5"/>
      </c>
      <c r="G323" s="169" t="s">
        <v>1534</v>
      </c>
      <c r="H323" s="169" t="s">
        <v>848</v>
      </c>
      <c r="I323" s="169" t="s">
        <v>2133</v>
      </c>
      <c r="J323" s="171"/>
    </row>
    <row r="324" spans="1:10" ht="19.5" customHeight="1">
      <c r="A324" s="167" t="s">
        <v>2141</v>
      </c>
      <c r="B324" s="168" t="str">
        <f>RIGHT("a12035731",LEN("a12035731")-1)</f>
        <v>12035731</v>
      </c>
      <c r="C324" s="169" t="s">
        <v>2142</v>
      </c>
      <c r="D324" s="170">
        <v>27134</v>
      </c>
      <c r="E324" s="169" t="s">
        <v>95</v>
      </c>
      <c r="F324" s="168">
        <f t="shared" si="5"/>
      </c>
      <c r="G324" s="169" t="s">
        <v>1534</v>
      </c>
      <c r="H324" s="169" t="s">
        <v>848</v>
      </c>
      <c r="I324" s="169" t="s">
        <v>2133</v>
      </c>
      <c r="J324" s="171"/>
    </row>
    <row r="325" spans="1:10" ht="19.5" customHeight="1">
      <c r="A325" s="167" t="s">
        <v>2143</v>
      </c>
      <c r="B325" s="168" t="str">
        <f>RIGHT("a12035732",LEN("a12035732")-1)</f>
        <v>12035732</v>
      </c>
      <c r="C325" s="169" t="s">
        <v>2144</v>
      </c>
      <c r="D325" s="170">
        <v>31669</v>
      </c>
      <c r="E325" s="169" t="s">
        <v>1533</v>
      </c>
      <c r="F325" s="168">
        <f t="shared" si="5"/>
      </c>
      <c r="G325" s="169" t="s">
        <v>1534</v>
      </c>
      <c r="H325" s="169" t="s">
        <v>848</v>
      </c>
      <c r="I325" s="169" t="s">
        <v>2133</v>
      </c>
      <c r="J325" s="171"/>
    </row>
    <row r="326" spans="1:10" ht="19.5" customHeight="1">
      <c r="A326" s="167" t="s">
        <v>2145</v>
      </c>
      <c r="B326" s="168" t="str">
        <f>RIGHT("a12035733",LEN("a12035733")-1)</f>
        <v>12035733</v>
      </c>
      <c r="C326" s="169" t="s">
        <v>2146</v>
      </c>
      <c r="D326" s="170">
        <v>28463</v>
      </c>
      <c r="E326" s="169" t="s">
        <v>1533</v>
      </c>
      <c r="F326" s="168">
        <f t="shared" si="5"/>
      </c>
      <c r="G326" s="169" t="s">
        <v>1534</v>
      </c>
      <c r="H326" s="169" t="s">
        <v>848</v>
      </c>
      <c r="I326" s="169" t="s">
        <v>2133</v>
      </c>
      <c r="J326" s="171"/>
    </row>
    <row r="327" spans="1:10" ht="19.5" customHeight="1">
      <c r="A327" s="167" t="s">
        <v>2147</v>
      </c>
      <c r="B327" s="168" t="str">
        <f>RIGHT("a12035734",LEN("a12035734")-1)</f>
        <v>12035734</v>
      </c>
      <c r="C327" s="169" t="s">
        <v>2148</v>
      </c>
      <c r="D327" s="170">
        <v>32233</v>
      </c>
      <c r="E327" s="169" t="s">
        <v>1533</v>
      </c>
      <c r="F327" s="168">
        <f t="shared" si="5"/>
      </c>
      <c r="G327" s="169" t="s">
        <v>1534</v>
      </c>
      <c r="H327" s="169" t="s">
        <v>848</v>
      </c>
      <c r="I327" s="169" t="s">
        <v>2133</v>
      </c>
      <c r="J327" s="171"/>
    </row>
    <row r="328" spans="1:10" ht="19.5" customHeight="1">
      <c r="A328" s="167" t="s">
        <v>2149</v>
      </c>
      <c r="B328" s="168" t="str">
        <f>RIGHT("a12035735",LEN("a12035735")-1)</f>
        <v>12035735</v>
      </c>
      <c r="C328" s="169" t="s">
        <v>2150</v>
      </c>
      <c r="D328" s="170">
        <v>30633</v>
      </c>
      <c r="E328" s="169" t="s">
        <v>1533</v>
      </c>
      <c r="F328" s="168">
        <f t="shared" si="5"/>
      </c>
      <c r="G328" s="169" t="s">
        <v>1534</v>
      </c>
      <c r="H328" s="169" t="s">
        <v>848</v>
      </c>
      <c r="I328" s="169" t="s">
        <v>2133</v>
      </c>
      <c r="J328" s="171"/>
    </row>
    <row r="329" spans="1:10" ht="19.5" customHeight="1">
      <c r="A329" s="167" t="s">
        <v>2151</v>
      </c>
      <c r="B329" s="168" t="str">
        <f>RIGHT("a12035736",LEN("a12035736")-1)</f>
        <v>12035736</v>
      </c>
      <c r="C329" s="169" t="s">
        <v>2152</v>
      </c>
      <c r="D329" s="170">
        <v>29782</v>
      </c>
      <c r="E329" s="169" t="s">
        <v>1533</v>
      </c>
      <c r="F329" s="168">
        <f t="shared" si="5"/>
      </c>
      <c r="G329" s="169" t="s">
        <v>1534</v>
      </c>
      <c r="H329" s="169" t="s">
        <v>848</v>
      </c>
      <c r="I329" s="169" t="s">
        <v>2133</v>
      </c>
      <c r="J329" s="171"/>
    </row>
    <row r="330" spans="1:10" ht="19.5" customHeight="1">
      <c r="A330" s="167" t="s">
        <v>2153</v>
      </c>
      <c r="B330" s="168" t="str">
        <f>RIGHT("a12035737",LEN("a12035737")-1)</f>
        <v>12035737</v>
      </c>
      <c r="C330" s="169" t="s">
        <v>2154</v>
      </c>
      <c r="D330" s="170">
        <v>27198</v>
      </c>
      <c r="E330" s="169" t="s">
        <v>95</v>
      </c>
      <c r="F330" s="168">
        <f t="shared" si="5"/>
      </c>
      <c r="G330" s="169" t="s">
        <v>1534</v>
      </c>
      <c r="H330" s="169" t="s">
        <v>848</v>
      </c>
      <c r="I330" s="169" t="s">
        <v>2133</v>
      </c>
      <c r="J330" s="171"/>
    </row>
    <row r="331" spans="1:10" ht="19.5" customHeight="1">
      <c r="A331" s="167" t="s">
        <v>2155</v>
      </c>
      <c r="B331" s="168" t="str">
        <f>RIGHT("a12035738",LEN("a12035738")-1)</f>
        <v>12035738</v>
      </c>
      <c r="C331" s="169" t="s">
        <v>2156</v>
      </c>
      <c r="D331" s="170">
        <v>32081</v>
      </c>
      <c r="E331" s="169" t="s">
        <v>95</v>
      </c>
      <c r="F331" s="168">
        <f t="shared" si="5"/>
      </c>
      <c r="G331" s="169" t="s">
        <v>1534</v>
      </c>
      <c r="H331" s="169" t="s">
        <v>848</v>
      </c>
      <c r="I331" s="169" t="s">
        <v>2133</v>
      </c>
      <c r="J331" s="171"/>
    </row>
    <row r="332" spans="1:10" ht="19.5" customHeight="1">
      <c r="A332" s="167" t="s">
        <v>2157</v>
      </c>
      <c r="B332" s="168" t="str">
        <f>RIGHT("a12035739",LEN("a12035739")-1)</f>
        <v>12035739</v>
      </c>
      <c r="C332" s="169" t="s">
        <v>2158</v>
      </c>
      <c r="D332" s="170">
        <v>25829</v>
      </c>
      <c r="E332" s="169" t="s">
        <v>95</v>
      </c>
      <c r="F332" s="168">
        <f t="shared" si="5"/>
      </c>
      <c r="G332" s="169" t="s">
        <v>1534</v>
      </c>
      <c r="H332" s="169" t="s">
        <v>848</v>
      </c>
      <c r="I332" s="169" t="s">
        <v>2133</v>
      </c>
      <c r="J332" s="171"/>
    </row>
    <row r="333" spans="1:10" ht="19.5" customHeight="1">
      <c r="A333" s="167" t="s">
        <v>2159</v>
      </c>
      <c r="B333" s="168" t="str">
        <f>RIGHT("a12035740",LEN("a12035740")-1)</f>
        <v>12035740</v>
      </c>
      <c r="C333" s="169" t="s">
        <v>2160</v>
      </c>
      <c r="D333" s="170">
        <v>28329</v>
      </c>
      <c r="E333" s="169" t="s">
        <v>1533</v>
      </c>
      <c r="F333" s="168">
        <f t="shared" si="5"/>
      </c>
      <c r="G333" s="169" t="s">
        <v>1534</v>
      </c>
      <c r="H333" s="169" t="s">
        <v>848</v>
      </c>
      <c r="I333" s="169" t="s">
        <v>2133</v>
      </c>
      <c r="J333" s="171"/>
    </row>
    <row r="334" spans="1:10" ht="19.5" customHeight="1">
      <c r="A334" s="167" t="s">
        <v>2161</v>
      </c>
      <c r="B334" s="168" t="str">
        <f>RIGHT("a12035741",LEN("a12035741")-1)</f>
        <v>12035741</v>
      </c>
      <c r="C334" s="169" t="s">
        <v>2162</v>
      </c>
      <c r="D334" s="170">
        <v>26604</v>
      </c>
      <c r="E334" s="169" t="s">
        <v>95</v>
      </c>
      <c r="F334" s="168">
        <f t="shared" si="5"/>
      </c>
      <c r="G334" s="169" t="s">
        <v>1534</v>
      </c>
      <c r="H334" s="169" t="s">
        <v>848</v>
      </c>
      <c r="I334" s="169" t="s">
        <v>2133</v>
      </c>
      <c r="J334" s="171"/>
    </row>
    <row r="335" spans="1:10" ht="19.5" customHeight="1">
      <c r="A335" s="167" t="s">
        <v>2163</v>
      </c>
      <c r="B335" s="168" t="str">
        <f>RIGHT("a12035743",LEN("a12035743")-1)</f>
        <v>12035743</v>
      </c>
      <c r="C335" s="169" t="s">
        <v>2164</v>
      </c>
      <c r="D335" s="170">
        <v>31066</v>
      </c>
      <c r="E335" s="169" t="s">
        <v>1533</v>
      </c>
      <c r="F335" s="168">
        <f t="shared" si="5"/>
      </c>
      <c r="G335" s="169" t="s">
        <v>1534</v>
      </c>
      <c r="H335" s="169" t="s">
        <v>848</v>
      </c>
      <c r="I335" s="169" t="s">
        <v>2133</v>
      </c>
      <c r="J335" s="171"/>
    </row>
    <row r="336" spans="1:10" ht="19.5" customHeight="1">
      <c r="A336" s="167" t="s">
        <v>2165</v>
      </c>
      <c r="B336" s="168" t="str">
        <f>RIGHT("a12035742",LEN("a12035742")-1)</f>
        <v>12035742</v>
      </c>
      <c r="C336" s="169" t="s">
        <v>2166</v>
      </c>
      <c r="D336" s="170">
        <v>29750</v>
      </c>
      <c r="E336" s="169" t="s">
        <v>1533</v>
      </c>
      <c r="F336" s="168">
        <f t="shared" si="5"/>
      </c>
      <c r="G336" s="169" t="s">
        <v>1534</v>
      </c>
      <c r="H336" s="169" t="s">
        <v>848</v>
      </c>
      <c r="I336" s="169" t="s">
        <v>2133</v>
      </c>
      <c r="J336" s="171"/>
    </row>
    <row r="337" spans="1:10" ht="19.5" customHeight="1">
      <c r="A337" s="167" t="s">
        <v>2167</v>
      </c>
      <c r="B337" s="168" t="str">
        <f>RIGHT("a12035744",LEN("a12035744")-1)</f>
        <v>12035744</v>
      </c>
      <c r="C337" s="169" t="s">
        <v>2168</v>
      </c>
      <c r="D337" s="170">
        <v>29334</v>
      </c>
      <c r="E337" s="169" t="s">
        <v>1533</v>
      </c>
      <c r="F337" s="168">
        <f t="shared" si="5"/>
      </c>
      <c r="G337" s="169" t="s">
        <v>1534</v>
      </c>
      <c r="H337" s="169" t="s">
        <v>848</v>
      </c>
      <c r="I337" s="169" t="s">
        <v>2133</v>
      </c>
      <c r="J337" s="171"/>
    </row>
    <row r="338" spans="1:10" ht="19.5" customHeight="1">
      <c r="A338" s="167" t="s">
        <v>2169</v>
      </c>
      <c r="B338" s="168" t="str">
        <f>RIGHT("a12035745",LEN("a12035745")-1)</f>
        <v>12035745</v>
      </c>
      <c r="C338" s="169" t="s">
        <v>2170</v>
      </c>
      <c r="D338" s="170">
        <v>32343</v>
      </c>
      <c r="E338" s="169" t="s">
        <v>1533</v>
      </c>
      <c r="F338" s="168">
        <f t="shared" si="5"/>
      </c>
      <c r="G338" s="169" t="s">
        <v>1534</v>
      </c>
      <c r="H338" s="169" t="s">
        <v>848</v>
      </c>
      <c r="I338" s="169" t="s">
        <v>2133</v>
      </c>
      <c r="J338" s="171"/>
    </row>
    <row r="339" spans="1:10" ht="19.5" customHeight="1">
      <c r="A339" s="167" t="s">
        <v>2171</v>
      </c>
      <c r="B339" s="168" t="str">
        <f>RIGHT("a12035114",LEN("a12035114")-1)</f>
        <v>12035114</v>
      </c>
      <c r="C339" s="169" t="s">
        <v>2172</v>
      </c>
      <c r="D339" s="170">
        <v>31626</v>
      </c>
      <c r="E339" s="169" t="s">
        <v>95</v>
      </c>
      <c r="F339" s="168">
        <f t="shared" si="5"/>
      </c>
      <c r="G339" s="169" t="s">
        <v>1534</v>
      </c>
      <c r="H339" s="169" t="s">
        <v>2173</v>
      </c>
      <c r="I339" s="169" t="s">
        <v>2174</v>
      </c>
      <c r="J339" s="171"/>
    </row>
    <row r="340" spans="1:10" ht="19.5" customHeight="1">
      <c r="A340" s="167" t="s">
        <v>2175</v>
      </c>
      <c r="B340" s="168" t="str">
        <f>RIGHT("a12035356",LEN("a12035356")-1)</f>
        <v>12035356</v>
      </c>
      <c r="C340" s="169" t="s">
        <v>2176</v>
      </c>
      <c r="D340" s="170">
        <v>32838</v>
      </c>
      <c r="E340" s="169" t="s">
        <v>1533</v>
      </c>
      <c r="F340" s="168">
        <f t="shared" si="5"/>
      </c>
      <c r="G340" s="169" t="s">
        <v>1534</v>
      </c>
      <c r="H340" s="169" t="s">
        <v>2173</v>
      </c>
      <c r="I340" s="169" t="s">
        <v>2174</v>
      </c>
      <c r="J340" s="171"/>
    </row>
    <row r="341" spans="1:10" ht="19.5" customHeight="1">
      <c r="A341" s="167" t="s">
        <v>2177</v>
      </c>
      <c r="B341" s="168" t="str">
        <f>RIGHT("a12035355",LEN("a12035355")-1)</f>
        <v>12035355</v>
      </c>
      <c r="C341" s="169" t="s">
        <v>2178</v>
      </c>
      <c r="D341" s="170">
        <v>32752</v>
      </c>
      <c r="E341" s="169" t="s">
        <v>95</v>
      </c>
      <c r="F341" s="168">
        <f t="shared" si="5"/>
      </c>
      <c r="G341" s="169" t="s">
        <v>1534</v>
      </c>
      <c r="H341" s="169" t="s">
        <v>2173</v>
      </c>
      <c r="I341" s="169" t="s">
        <v>2174</v>
      </c>
      <c r="J341" s="171"/>
    </row>
    <row r="342" spans="1:10" ht="19.5" customHeight="1">
      <c r="A342" s="167" t="s">
        <v>2179</v>
      </c>
      <c r="B342" s="168" t="str">
        <f>RIGHT("a12035115",LEN("a12035115")-1)</f>
        <v>12035115</v>
      </c>
      <c r="C342" s="169" t="s">
        <v>2180</v>
      </c>
      <c r="D342" s="170">
        <v>32222</v>
      </c>
      <c r="E342" s="169" t="s">
        <v>95</v>
      </c>
      <c r="F342" s="168">
        <f t="shared" si="5"/>
      </c>
      <c r="G342" s="169" t="s">
        <v>1534</v>
      </c>
      <c r="H342" s="169" t="s">
        <v>2173</v>
      </c>
      <c r="I342" s="169" t="s">
        <v>2174</v>
      </c>
      <c r="J342" s="171"/>
    </row>
    <row r="343" spans="1:10" ht="19.5" customHeight="1">
      <c r="A343" s="167" t="s">
        <v>2181</v>
      </c>
      <c r="B343" s="168" t="str">
        <f>RIGHT("a12035116",LEN("a12035116")-1)</f>
        <v>12035116</v>
      </c>
      <c r="C343" s="169" t="s">
        <v>2182</v>
      </c>
      <c r="D343" s="170">
        <v>31969</v>
      </c>
      <c r="E343" s="169" t="s">
        <v>95</v>
      </c>
      <c r="F343" s="168">
        <f t="shared" si="5"/>
      </c>
      <c r="G343" s="169" t="s">
        <v>1534</v>
      </c>
      <c r="H343" s="169" t="s">
        <v>2173</v>
      </c>
      <c r="I343" s="169" t="s">
        <v>2174</v>
      </c>
      <c r="J343" s="171"/>
    </row>
    <row r="344" spans="1:10" ht="19.5" customHeight="1">
      <c r="A344" s="167" t="s">
        <v>2183</v>
      </c>
      <c r="B344" s="168" t="str">
        <f>RIGHT("a12035382",LEN("a12035382")-1)</f>
        <v>12035382</v>
      </c>
      <c r="C344" s="169" t="s">
        <v>2184</v>
      </c>
      <c r="D344" s="170">
        <v>33068</v>
      </c>
      <c r="E344" s="169" t="s">
        <v>95</v>
      </c>
      <c r="F344" s="168">
        <f t="shared" si="5"/>
      </c>
      <c r="G344" s="169" t="s">
        <v>1534</v>
      </c>
      <c r="H344" s="169" t="s">
        <v>847</v>
      </c>
      <c r="I344" s="169" t="s">
        <v>2185</v>
      </c>
      <c r="J344" s="171"/>
    </row>
    <row r="345" spans="1:10" ht="19.5" customHeight="1">
      <c r="A345" s="167" t="s">
        <v>2186</v>
      </c>
      <c r="B345" s="168" t="str">
        <f>RIGHT("a12035390",LEN("a12035390")-1)</f>
        <v>12035390</v>
      </c>
      <c r="C345" s="169" t="s">
        <v>2187</v>
      </c>
      <c r="D345" s="170">
        <v>31051</v>
      </c>
      <c r="E345" s="169" t="s">
        <v>1533</v>
      </c>
      <c r="F345" s="168">
        <f t="shared" si="5"/>
      </c>
      <c r="G345" s="169" t="s">
        <v>1534</v>
      </c>
      <c r="H345" s="169" t="s">
        <v>847</v>
      </c>
      <c r="I345" s="169" t="s">
        <v>2185</v>
      </c>
      <c r="J345" s="171"/>
    </row>
    <row r="346" spans="1:10" ht="19.5" customHeight="1">
      <c r="A346" s="167" t="s">
        <v>2188</v>
      </c>
      <c r="B346" s="168" t="str">
        <f>RIGHT("a12035391",LEN("a12035391")-1)</f>
        <v>12035391</v>
      </c>
      <c r="C346" s="169" t="s">
        <v>2189</v>
      </c>
      <c r="D346" s="170">
        <v>33111</v>
      </c>
      <c r="E346" s="169" t="s">
        <v>95</v>
      </c>
      <c r="F346" s="168">
        <f t="shared" si="5"/>
      </c>
      <c r="G346" s="169" t="s">
        <v>1534</v>
      </c>
      <c r="H346" s="169" t="s">
        <v>847</v>
      </c>
      <c r="I346" s="169" t="s">
        <v>2185</v>
      </c>
      <c r="J346" s="171"/>
    </row>
    <row r="347" spans="1:10" ht="19.5" customHeight="1">
      <c r="A347" s="167" t="s">
        <v>2190</v>
      </c>
      <c r="B347" s="168" t="str">
        <f>RIGHT("a12035383",LEN("a12035383")-1)</f>
        <v>12035383</v>
      </c>
      <c r="C347" s="169" t="s">
        <v>2191</v>
      </c>
      <c r="D347" s="170">
        <v>30787</v>
      </c>
      <c r="E347" s="169" t="s">
        <v>1533</v>
      </c>
      <c r="F347" s="168">
        <f t="shared" si="5"/>
      </c>
      <c r="G347" s="169" t="s">
        <v>1534</v>
      </c>
      <c r="H347" s="169" t="s">
        <v>847</v>
      </c>
      <c r="I347" s="169" t="s">
        <v>2185</v>
      </c>
      <c r="J347" s="171"/>
    </row>
    <row r="348" spans="1:10" ht="19.5" customHeight="1">
      <c r="A348" s="167" t="s">
        <v>2192</v>
      </c>
      <c r="B348" s="168" t="str">
        <f>RIGHT("a12035381",LEN("a12035381")-1)</f>
        <v>12035381</v>
      </c>
      <c r="C348" s="169" t="s">
        <v>1725</v>
      </c>
      <c r="D348" s="170">
        <v>30100</v>
      </c>
      <c r="E348" s="169" t="s">
        <v>95</v>
      </c>
      <c r="F348" s="168">
        <f t="shared" si="5"/>
      </c>
      <c r="G348" s="169" t="s">
        <v>1534</v>
      </c>
      <c r="H348" s="169" t="s">
        <v>847</v>
      </c>
      <c r="I348" s="169" t="s">
        <v>2185</v>
      </c>
      <c r="J348" s="171"/>
    </row>
    <row r="349" spans="1:10" ht="19.5" customHeight="1">
      <c r="A349" s="167" t="s">
        <v>2193</v>
      </c>
      <c r="B349" s="168" t="str">
        <f>RIGHT("a12035384",LEN("a12035384")-1)</f>
        <v>12035384</v>
      </c>
      <c r="C349" s="169" t="s">
        <v>2194</v>
      </c>
      <c r="D349" s="170">
        <v>30812</v>
      </c>
      <c r="E349" s="169" t="s">
        <v>95</v>
      </c>
      <c r="F349" s="168">
        <f t="shared" si="5"/>
      </c>
      <c r="G349" s="169" t="s">
        <v>1534</v>
      </c>
      <c r="H349" s="169" t="s">
        <v>847</v>
      </c>
      <c r="I349" s="169" t="s">
        <v>2185</v>
      </c>
      <c r="J349" s="171"/>
    </row>
    <row r="350" spans="1:10" ht="19.5" customHeight="1">
      <c r="A350" s="167" t="s">
        <v>2195</v>
      </c>
      <c r="B350" s="168" t="str">
        <f>RIGHT("a12035032",LEN("a12035032")-1)</f>
        <v>12035032</v>
      </c>
      <c r="C350" s="169" t="s">
        <v>2196</v>
      </c>
      <c r="D350" s="170">
        <v>32526</v>
      </c>
      <c r="E350" s="169" t="s">
        <v>1533</v>
      </c>
      <c r="F350" s="168">
        <f t="shared" si="5"/>
      </c>
      <c r="G350" s="169" t="s">
        <v>1534</v>
      </c>
      <c r="H350" s="169" t="s">
        <v>847</v>
      </c>
      <c r="I350" s="169" t="s">
        <v>2185</v>
      </c>
      <c r="J350" s="171"/>
    </row>
    <row r="351" spans="1:10" ht="19.5" customHeight="1">
      <c r="A351" s="167" t="s">
        <v>2197</v>
      </c>
      <c r="B351" s="168" t="str">
        <f>RIGHT("a12035385",LEN("a12035385")-1)</f>
        <v>12035385</v>
      </c>
      <c r="C351" s="169" t="s">
        <v>2198</v>
      </c>
      <c r="D351" s="170">
        <v>32801</v>
      </c>
      <c r="E351" s="169" t="s">
        <v>95</v>
      </c>
      <c r="F351" s="168">
        <f t="shared" si="5"/>
      </c>
      <c r="G351" s="169" t="s">
        <v>1534</v>
      </c>
      <c r="H351" s="169" t="s">
        <v>847</v>
      </c>
      <c r="I351" s="169" t="s">
        <v>2185</v>
      </c>
      <c r="J351" s="171"/>
    </row>
    <row r="352" spans="1:10" ht="19.5" customHeight="1">
      <c r="A352" s="167" t="s">
        <v>2199</v>
      </c>
      <c r="B352" s="168" t="str">
        <f>RIGHT("a12035033",LEN("a12035033")-1)</f>
        <v>12035033</v>
      </c>
      <c r="C352" s="169" t="s">
        <v>2200</v>
      </c>
      <c r="D352" s="170">
        <v>28940</v>
      </c>
      <c r="E352" s="169" t="s">
        <v>1533</v>
      </c>
      <c r="F352" s="168">
        <f t="shared" si="5"/>
      </c>
      <c r="G352" s="169" t="s">
        <v>1534</v>
      </c>
      <c r="H352" s="169" t="s">
        <v>847</v>
      </c>
      <c r="I352" s="169" t="s">
        <v>2185</v>
      </c>
      <c r="J352" s="171"/>
    </row>
    <row r="353" spans="1:10" ht="19.5" customHeight="1">
      <c r="A353" s="167" t="s">
        <v>2201</v>
      </c>
      <c r="B353" s="168" t="str">
        <f>RIGHT("a12035386",LEN("a12035386")-1)</f>
        <v>12035386</v>
      </c>
      <c r="C353" s="169" t="s">
        <v>2202</v>
      </c>
      <c r="D353" s="170">
        <v>32360</v>
      </c>
      <c r="E353" s="169" t="s">
        <v>95</v>
      </c>
      <c r="F353" s="168">
        <f t="shared" si="5"/>
      </c>
      <c r="G353" s="169" t="s">
        <v>1534</v>
      </c>
      <c r="H353" s="169" t="s">
        <v>847</v>
      </c>
      <c r="I353" s="169" t="s">
        <v>2185</v>
      </c>
      <c r="J353" s="171"/>
    </row>
    <row r="354" spans="1:10" ht="19.5" customHeight="1">
      <c r="A354" s="167" t="s">
        <v>2203</v>
      </c>
      <c r="B354" s="168" t="str">
        <f>RIGHT("a12035389",LEN("a12035389")-1)</f>
        <v>12035389</v>
      </c>
      <c r="C354" s="169" t="s">
        <v>2204</v>
      </c>
      <c r="D354" s="170">
        <v>32542</v>
      </c>
      <c r="E354" s="169" t="s">
        <v>1533</v>
      </c>
      <c r="F354" s="168">
        <f t="shared" si="5"/>
      </c>
      <c r="G354" s="169" t="s">
        <v>1534</v>
      </c>
      <c r="H354" s="169" t="s">
        <v>847</v>
      </c>
      <c r="I354" s="169" t="s">
        <v>2185</v>
      </c>
      <c r="J354" s="171"/>
    </row>
    <row r="355" spans="1:10" ht="19.5" customHeight="1">
      <c r="A355" s="167" t="s">
        <v>2205</v>
      </c>
      <c r="B355" s="168" t="str">
        <f>RIGHT("a12035387",LEN("a12035387")-1)</f>
        <v>12035387</v>
      </c>
      <c r="C355" s="169" t="s">
        <v>2206</v>
      </c>
      <c r="D355" s="170">
        <v>31954</v>
      </c>
      <c r="E355" s="169" t="s">
        <v>1533</v>
      </c>
      <c r="F355" s="168">
        <f t="shared" si="5"/>
      </c>
      <c r="G355" s="169" t="s">
        <v>1534</v>
      </c>
      <c r="H355" s="169" t="s">
        <v>847</v>
      </c>
      <c r="I355" s="169" t="s">
        <v>2185</v>
      </c>
      <c r="J355" s="171"/>
    </row>
    <row r="356" spans="1:10" ht="19.5" customHeight="1">
      <c r="A356" s="167" t="s">
        <v>2207</v>
      </c>
      <c r="B356" s="168" t="str">
        <f>RIGHT("a12035388",LEN("a12035388")-1)</f>
        <v>12035388</v>
      </c>
      <c r="C356" s="169" t="s">
        <v>2208</v>
      </c>
      <c r="D356" s="170">
        <v>32546</v>
      </c>
      <c r="E356" s="169" t="s">
        <v>1533</v>
      </c>
      <c r="F356" s="168">
        <f t="shared" si="5"/>
      </c>
      <c r="G356" s="169" t="s">
        <v>1534</v>
      </c>
      <c r="H356" s="169" t="s">
        <v>847</v>
      </c>
      <c r="I356" s="169" t="s">
        <v>2185</v>
      </c>
      <c r="J356" s="171"/>
    </row>
    <row r="357" spans="1:10" ht="19.5" customHeight="1">
      <c r="A357" s="167" t="s">
        <v>2209</v>
      </c>
      <c r="B357" s="168" t="str">
        <f>RIGHT("a12035918",LEN("a12035918")-1)</f>
        <v>12035918</v>
      </c>
      <c r="C357" s="169" t="s">
        <v>2210</v>
      </c>
      <c r="D357" s="170">
        <v>30169</v>
      </c>
      <c r="E357" s="169" t="s">
        <v>1533</v>
      </c>
      <c r="F357" s="168">
        <f t="shared" si="5"/>
      </c>
      <c r="G357" s="169" t="s">
        <v>1534</v>
      </c>
      <c r="H357" s="169" t="s">
        <v>847</v>
      </c>
      <c r="I357" s="169" t="s">
        <v>2211</v>
      </c>
      <c r="J357" s="171"/>
    </row>
    <row r="358" spans="1:10" ht="19.5" customHeight="1">
      <c r="A358" s="167" t="s">
        <v>2212</v>
      </c>
      <c r="B358" s="168" t="str">
        <f>RIGHT("a12035919",LEN("a12035919")-1)</f>
        <v>12035919</v>
      </c>
      <c r="C358" s="169" t="s">
        <v>2213</v>
      </c>
      <c r="D358" s="170">
        <v>30944</v>
      </c>
      <c r="E358" s="169" t="s">
        <v>1533</v>
      </c>
      <c r="F358" s="168">
        <f t="shared" si="5"/>
      </c>
      <c r="G358" s="169" t="s">
        <v>1534</v>
      </c>
      <c r="H358" s="169" t="s">
        <v>847</v>
      </c>
      <c r="I358" s="169" t="s">
        <v>2211</v>
      </c>
      <c r="J358" s="171"/>
    </row>
    <row r="359" spans="1:10" ht="19.5" customHeight="1">
      <c r="A359" s="167" t="s">
        <v>2214</v>
      </c>
      <c r="B359" s="168" t="str">
        <f>RIGHT("a12035922",LEN("a12035922")-1)</f>
        <v>12035922</v>
      </c>
      <c r="C359" s="169" t="s">
        <v>2215</v>
      </c>
      <c r="D359" s="170">
        <v>28989</v>
      </c>
      <c r="E359" s="169" t="s">
        <v>1533</v>
      </c>
      <c r="F359" s="168">
        <f t="shared" si="5"/>
      </c>
      <c r="G359" s="169" t="s">
        <v>1534</v>
      </c>
      <c r="H359" s="169" t="s">
        <v>847</v>
      </c>
      <c r="I359" s="169" t="s">
        <v>2211</v>
      </c>
      <c r="J359" s="171"/>
    </row>
    <row r="360" spans="1:10" ht="19.5" customHeight="1">
      <c r="A360" s="167" t="s">
        <v>2216</v>
      </c>
      <c r="B360" s="168" t="str">
        <f>RIGHT("a12035920",LEN("a12035920")-1)</f>
        <v>12035920</v>
      </c>
      <c r="C360" s="169" t="s">
        <v>2217</v>
      </c>
      <c r="D360" s="170">
        <v>30458</v>
      </c>
      <c r="E360" s="169" t="s">
        <v>1533</v>
      </c>
      <c r="F360" s="168">
        <f t="shared" si="5"/>
      </c>
      <c r="G360" s="169" t="s">
        <v>1534</v>
      </c>
      <c r="H360" s="169" t="s">
        <v>847</v>
      </c>
      <c r="I360" s="169" t="s">
        <v>2211</v>
      </c>
      <c r="J360" s="171"/>
    </row>
    <row r="361" spans="1:10" ht="19.5" customHeight="1">
      <c r="A361" s="167" t="s">
        <v>2218</v>
      </c>
      <c r="B361" s="168" t="str">
        <f>RIGHT("a12035917",LEN("a12035917")-1)</f>
        <v>12035917</v>
      </c>
      <c r="C361" s="169" t="s">
        <v>2219</v>
      </c>
      <c r="D361" s="170">
        <v>32561</v>
      </c>
      <c r="E361" s="169" t="s">
        <v>1533</v>
      </c>
      <c r="F361" s="168">
        <f t="shared" si="5"/>
      </c>
      <c r="G361" s="169" t="s">
        <v>1534</v>
      </c>
      <c r="H361" s="169" t="s">
        <v>847</v>
      </c>
      <c r="I361" s="169" t="s">
        <v>2211</v>
      </c>
      <c r="J361" s="171"/>
    </row>
    <row r="362" spans="1:10" ht="19.5" customHeight="1">
      <c r="A362" s="167" t="s">
        <v>2220</v>
      </c>
      <c r="B362" s="168" t="str">
        <f>RIGHT("a12035921",LEN("a12035921")-1)</f>
        <v>12035921</v>
      </c>
      <c r="C362" s="169" t="s">
        <v>2221</v>
      </c>
      <c r="D362" s="170">
        <v>31413</v>
      </c>
      <c r="E362" s="169" t="s">
        <v>1533</v>
      </c>
      <c r="F362" s="168">
        <f t="shared" si="5"/>
      </c>
      <c r="G362" s="169" t="s">
        <v>1534</v>
      </c>
      <c r="H362" s="169" t="s">
        <v>847</v>
      </c>
      <c r="I362" s="169" t="s">
        <v>2211</v>
      </c>
      <c r="J362" s="171"/>
    </row>
    <row r="363" spans="1:10" ht="19.5" customHeight="1">
      <c r="A363" s="167" t="s">
        <v>2222</v>
      </c>
      <c r="B363" s="168" t="str">
        <f>RIGHT("a12035379",LEN("a12035379")-1)</f>
        <v>12035379</v>
      </c>
      <c r="C363" s="169" t="s">
        <v>2223</v>
      </c>
      <c r="D363" s="170">
        <v>32902</v>
      </c>
      <c r="E363" s="169" t="s">
        <v>1533</v>
      </c>
      <c r="F363" s="168">
        <f t="shared" si="5"/>
      </c>
      <c r="G363" s="169" t="s">
        <v>1534</v>
      </c>
      <c r="H363" s="169" t="s">
        <v>859</v>
      </c>
      <c r="I363" s="169" t="s">
        <v>2224</v>
      </c>
      <c r="J363" s="171"/>
    </row>
    <row r="364" spans="1:10" ht="19.5" customHeight="1">
      <c r="A364" s="167" t="s">
        <v>2225</v>
      </c>
      <c r="B364" s="168" t="str">
        <f>RIGHT("a12035380",LEN("a12035380")-1)</f>
        <v>12035380</v>
      </c>
      <c r="C364" s="169" t="s">
        <v>1445</v>
      </c>
      <c r="D364" s="170">
        <v>29685</v>
      </c>
      <c r="E364" s="169" t="s">
        <v>1533</v>
      </c>
      <c r="F364" s="168">
        <f t="shared" si="5"/>
      </c>
      <c r="G364" s="169" t="s">
        <v>1534</v>
      </c>
      <c r="H364" s="169" t="s">
        <v>859</v>
      </c>
      <c r="I364" s="169" t="s">
        <v>2224</v>
      </c>
      <c r="J364" s="171"/>
    </row>
    <row r="365" spans="1:10" ht="19.5" customHeight="1">
      <c r="A365" s="167" t="s">
        <v>2226</v>
      </c>
      <c r="B365" s="168" t="str">
        <f>RIGHT("a12035377",LEN("a12035377")-1)</f>
        <v>12035377</v>
      </c>
      <c r="C365" s="169" t="s">
        <v>2227</v>
      </c>
      <c r="D365" s="170">
        <v>32076</v>
      </c>
      <c r="E365" s="169" t="s">
        <v>95</v>
      </c>
      <c r="F365" s="168">
        <f t="shared" si="5"/>
      </c>
      <c r="G365" s="169" t="s">
        <v>1534</v>
      </c>
      <c r="H365" s="169" t="s">
        <v>859</v>
      </c>
      <c r="I365" s="169" t="s">
        <v>2224</v>
      </c>
      <c r="J365" s="171"/>
    </row>
    <row r="366" spans="1:10" ht="19.5" customHeight="1">
      <c r="A366" s="167" t="s">
        <v>2228</v>
      </c>
      <c r="B366" s="168" t="str">
        <f>RIGHT("a12035378",LEN("a12035378")-1)</f>
        <v>12035378</v>
      </c>
      <c r="C366" s="169" t="s">
        <v>1446</v>
      </c>
      <c r="D366" s="170">
        <v>32572</v>
      </c>
      <c r="E366" s="169" t="s">
        <v>1533</v>
      </c>
      <c r="F366" s="168">
        <f t="shared" si="5"/>
      </c>
      <c r="G366" s="169" t="s">
        <v>1534</v>
      </c>
      <c r="H366" s="169" t="s">
        <v>859</v>
      </c>
      <c r="I366" s="169" t="s">
        <v>2224</v>
      </c>
      <c r="J366" s="171"/>
    </row>
    <row r="367" spans="1:10" ht="19.5" customHeight="1">
      <c r="A367" s="167" t="s">
        <v>2229</v>
      </c>
      <c r="B367" s="168" t="str">
        <f>RIGHT("a12035196",LEN("a12035196")-1)</f>
        <v>12035196</v>
      </c>
      <c r="C367" s="169" t="s">
        <v>2230</v>
      </c>
      <c r="D367" s="170">
        <v>30934</v>
      </c>
      <c r="E367" s="169" t="s">
        <v>1533</v>
      </c>
      <c r="F367" s="168">
        <f t="shared" si="5"/>
      </c>
      <c r="G367" s="169" t="s">
        <v>1534</v>
      </c>
      <c r="H367" s="169" t="s">
        <v>859</v>
      </c>
      <c r="I367" s="169" t="s">
        <v>2224</v>
      </c>
      <c r="J367" s="171"/>
    </row>
    <row r="368" spans="1:10" ht="19.5" customHeight="1">
      <c r="A368" s="167" t="s">
        <v>2231</v>
      </c>
      <c r="B368" s="168" t="str">
        <f>RIGHT("a12035392",LEN("a12035392")-1)</f>
        <v>12035392</v>
      </c>
      <c r="C368" s="169" t="s">
        <v>2232</v>
      </c>
      <c r="D368" s="170">
        <v>31079</v>
      </c>
      <c r="E368" s="169" t="s">
        <v>95</v>
      </c>
      <c r="F368" s="168">
        <f t="shared" si="5"/>
      </c>
      <c r="G368" s="169" t="s">
        <v>1534</v>
      </c>
      <c r="H368" s="169" t="s">
        <v>2173</v>
      </c>
      <c r="I368" s="169" t="s">
        <v>2233</v>
      </c>
      <c r="J368" s="171"/>
    </row>
    <row r="369" spans="1:10" ht="19.5" customHeight="1">
      <c r="A369" s="167" t="s">
        <v>2234</v>
      </c>
      <c r="B369" s="168" t="str">
        <f>RIGHT("a12035394",LEN("a12035394")-1)</f>
        <v>12035394</v>
      </c>
      <c r="C369" s="169" t="s">
        <v>2235</v>
      </c>
      <c r="D369" s="170">
        <v>33207</v>
      </c>
      <c r="E369" s="169" t="s">
        <v>1533</v>
      </c>
      <c r="F369" s="168">
        <f t="shared" si="5"/>
      </c>
      <c r="G369" s="169" t="s">
        <v>1534</v>
      </c>
      <c r="H369" s="169" t="s">
        <v>2173</v>
      </c>
      <c r="I369" s="169" t="s">
        <v>2233</v>
      </c>
      <c r="J369" s="171"/>
    </row>
    <row r="370" spans="1:10" ht="19.5" customHeight="1">
      <c r="A370" s="167" t="s">
        <v>2236</v>
      </c>
      <c r="B370" s="168" t="str">
        <f>RIGHT("a12035117",LEN("a12035117")-1)</f>
        <v>12035117</v>
      </c>
      <c r="C370" s="169" t="s">
        <v>2237</v>
      </c>
      <c r="D370" s="170">
        <v>30540</v>
      </c>
      <c r="E370" s="169" t="s">
        <v>1533</v>
      </c>
      <c r="F370" s="168">
        <f t="shared" si="5"/>
      </c>
      <c r="G370" s="169" t="s">
        <v>1534</v>
      </c>
      <c r="H370" s="169" t="s">
        <v>2173</v>
      </c>
      <c r="I370" s="169" t="s">
        <v>2233</v>
      </c>
      <c r="J370" s="171"/>
    </row>
    <row r="371" spans="1:10" ht="19.5" customHeight="1">
      <c r="A371" s="167" t="s">
        <v>2238</v>
      </c>
      <c r="B371" s="168" t="str">
        <f>RIGHT("a12035393",LEN("a12035393")-1)</f>
        <v>12035393</v>
      </c>
      <c r="C371" s="169" t="s">
        <v>2239</v>
      </c>
      <c r="D371" s="170">
        <v>32716</v>
      </c>
      <c r="E371" s="169" t="s">
        <v>95</v>
      </c>
      <c r="F371" s="168">
        <f t="shared" si="5"/>
      </c>
      <c r="G371" s="169" t="s">
        <v>1534</v>
      </c>
      <c r="H371" s="169" t="s">
        <v>2173</v>
      </c>
      <c r="I371" s="169" t="s">
        <v>2233</v>
      </c>
      <c r="J371" s="171"/>
    </row>
    <row r="372" spans="1:10" ht="19.5" customHeight="1">
      <c r="A372" s="167" t="s">
        <v>2240</v>
      </c>
      <c r="B372" s="168" t="str">
        <f>RIGHT("a12035118",LEN("a12035118")-1)</f>
        <v>12035118</v>
      </c>
      <c r="C372" s="169" t="s">
        <v>2241</v>
      </c>
      <c r="D372" s="170">
        <v>30503</v>
      </c>
      <c r="E372" s="169" t="s">
        <v>1533</v>
      </c>
      <c r="F372" s="168">
        <f t="shared" si="5"/>
      </c>
      <c r="G372" s="169" t="s">
        <v>1534</v>
      </c>
      <c r="H372" s="169" t="s">
        <v>2173</v>
      </c>
      <c r="I372" s="169" t="s">
        <v>2233</v>
      </c>
      <c r="J372" s="171"/>
    </row>
    <row r="373" spans="1:10" ht="19.5" customHeight="1">
      <c r="A373" s="167" t="s">
        <v>2242</v>
      </c>
      <c r="B373" s="168" t="str">
        <f>RIGHT("a12035406",LEN("a12035406")-1)</f>
        <v>12035406</v>
      </c>
      <c r="C373" s="169" t="s">
        <v>2243</v>
      </c>
      <c r="D373" s="170">
        <v>31527</v>
      </c>
      <c r="E373" s="169" t="s">
        <v>1533</v>
      </c>
      <c r="F373" s="168">
        <f t="shared" si="5"/>
      </c>
      <c r="G373" s="169" t="s">
        <v>1534</v>
      </c>
      <c r="H373" s="169" t="s">
        <v>2244</v>
      </c>
      <c r="I373" s="169" t="s">
        <v>2245</v>
      </c>
      <c r="J373" s="171"/>
    </row>
    <row r="374" spans="1:10" ht="19.5" customHeight="1">
      <c r="A374" s="167" t="s">
        <v>2246</v>
      </c>
      <c r="B374" s="168" t="str">
        <f>RIGHT("a12035087",LEN("a12035087")-1)</f>
        <v>12035087</v>
      </c>
      <c r="C374" s="169" t="s">
        <v>2247</v>
      </c>
      <c r="D374" s="170">
        <v>33070</v>
      </c>
      <c r="E374" s="169" t="s">
        <v>1533</v>
      </c>
      <c r="F374" s="168">
        <f t="shared" si="5"/>
      </c>
      <c r="G374" s="169" t="s">
        <v>1534</v>
      </c>
      <c r="H374" s="169" t="s">
        <v>2244</v>
      </c>
      <c r="I374" s="169" t="s">
        <v>2245</v>
      </c>
      <c r="J374" s="171"/>
    </row>
    <row r="375" spans="1:10" ht="19.5" customHeight="1">
      <c r="A375" s="167" t="s">
        <v>2248</v>
      </c>
      <c r="B375" s="168" t="str">
        <f>RIGHT("a12035397",LEN("a12035397")-1)</f>
        <v>12035397</v>
      </c>
      <c r="C375" s="169" t="s">
        <v>2249</v>
      </c>
      <c r="D375" s="170">
        <v>29532</v>
      </c>
      <c r="E375" s="169" t="s">
        <v>1533</v>
      </c>
      <c r="F375" s="168">
        <f t="shared" si="5"/>
      </c>
      <c r="G375" s="169" t="s">
        <v>1534</v>
      </c>
      <c r="H375" s="169" t="s">
        <v>2244</v>
      </c>
      <c r="I375" s="169" t="s">
        <v>2245</v>
      </c>
      <c r="J375" s="171"/>
    </row>
    <row r="376" spans="1:10" ht="19.5" customHeight="1">
      <c r="A376" s="167" t="s">
        <v>2250</v>
      </c>
      <c r="B376" s="168" t="str">
        <f>RIGHT("a12035416",LEN("a12035416")-1)</f>
        <v>12035416</v>
      </c>
      <c r="C376" s="169" t="s">
        <v>2251</v>
      </c>
      <c r="D376" s="170">
        <v>33235</v>
      </c>
      <c r="E376" s="169" t="s">
        <v>1533</v>
      </c>
      <c r="F376" s="168">
        <f t="shared" si="5"/>
      </c>
      <c r="G376" s="169" t="s">
        <v>1534</v>
      </c>
      <c r="H376" s="169" t="s">
        <v>2244</v>
      </c>
      <c r="I376" s="169" t="s">
        <v>2245</v>
      </c>
      <c r="J376" s="171"/>
    </row>
    <row r="377" spans="1:10" ht="19.5" customHeight="1">
      <c r="A377" s="167" t="s">
        <v>2252</v>
      </c>
      <c r="B377" s="168" t="str">
        <f>RIGHT("a12035404",LEN("a12035404")-1)</f>
        <v>12035404</v>
      </c>
      <c r="C377" s="169" t="s">
        <v>2253</v>
      </c>
      <c r="D377" s="170">
        <v>31978</v>
      </c>
      <c r="E377" s="169" t="s">
        <v>1533</v>
      </c>
      <c r="F377" s="168">
        <f t="shared" si="5"/>
      </c>
      <c r="G377" s="169" t="s">
        <v>1534</v>
      </c>
      <c r="H377" s="169" t="s">
        <v>2244</v>
      </c>
      <c r="I377" s="169" t="s">
        <v>2245</v>
      </c>
      <c r="J377" s="171"/>
    </row>
    <row r="378" spans="1:10" ht="19.5" customHeight="1">
      <c r="A378" s="167" t="s">
        <v>2254</v>
      </c>
      <c r="B378" s="168" t="str">
        <f>RIGHT("a12035088",LEN("a12035088")-1)</f>
        <v>12035088</v>
      </c>
      <c r="C378" s="169" t="s">
        <v>1414</v>
      </c>
      <c r="D378" s="170">
        <v>32903</v>
      </c>
      <c r="E378" s="169" t="s">
        <v>1533</v>
      </c>
      <c r="F378" s="168">
        <f t="shared" si="5"/>
      </c>
      <c r="G378" s="169" t="s">
        <v>1534</v>
      </c>
      <c r="H378" s="169" t="s">
        <v>2244</v>
      </c>
      <c r="I378" s="169" t="s">
        <v>2245</v>
      </c>
      <c r="J378" s="171"/>
    </row>
    <row r="379" spans="1:10" ht="19.5" customHeight="1">
      <c r="A379" s="167" t="s">
        <v>2255</v>
      </c>
      <c r="B379" s="168" t="str">
        <f>RIGHT("a12035415",LEN("a12035415")-1)</f>
        <v>12035415</v>
      </c>
      <c r="C379" s="169" t="s">
        <v>2256</v>
      </c>
      <c r="D379" s="170">
        <v>33184</v>
      </c>
      <c r="E379" s="169" t="s">
        <v>1533</v>
      </c>
      <c r="F379" s="168">
        <f t="shared" si="5"/>
      </c>
      <c r="G379" s="169" t="s">
        <v>1534</v>
      </c>
      <c r="H379" s="169" t="s">
        <v>2244</v>
      </c>
      <c r="I379" s="169" t="s">
        <v>2245</v>
      </c>
      <c r="J379" s="171"/>
    </row>
    <row r="380" spans="1:10" ht="19.5" customHeight="1">
      <c r="A380" s="167" t="s">
        <v>2257</v>
      </c>
      <c r="B380" s="168" t="str">
        <f>RIGHT("a12035398",LEN("a12035398")-1)</f>
        <v>12035398</v>
      </c>
      <c r="C380" s="169" t="s">
        <v>2258</v>
      </c>
      <c r="D380" s="170">
        <v>32876</v>
      </c>
      <c r="E380" s="169" t="s">
        <v>1533</v>
      </c>
      <c r="F380" s="168">
        <f t="shared" si="5"/>
      </c>
      <c r="G380" s="169" t="s">
        <v>1534</v>
      </c>
      <c r="H380" s="169" t="s">
        <v>2244</v>
      </c>
      <c r="I380" s="169" t="s">
        <v>2245</v>
      </c>
      <c r="J380" s="171"/>
    </row>
    <row r="381" spans="1:10" ht="19.5" customHeight="1">
      <c r="A381" s="167" t="s">
        <v>2259</v>
      </c>
      <c r="B381" s="168" t="str">
        <f>RIGHT("a12035089",LEN("a12035089")-1)</f>
        <v>12035089</v>
      </c>
      <c r="C381" s="169" t="s">
        <v>2260</v>
      </c>
      <c r="D381" s="170">
        <v>33114</v>
      </c>
      <c r="E381" s="169" t="s">
        <v>1533</v>
      </c>
      <c r="F381" s="168">
        <f t="shared" si="5"/>
      </c>
      <c r="G381" s="169" t="s">
        <v>1534</v>
      </c>
      <c r="H381" s="169" t="s">
        <v>2244</v>
      </c>
      <c r="I381" s="169" t="s">
        <v>2245</v>
      </c>
      <c r="J381" s="171"/>
    </row>
    <row r="382" spans="1:10" ht="19.5" customHeight="1">
      <c r="A382" s="167" t="s">
        <v>2261</v>
      </c>
      <c r="B382" s="168" t="str">
        <f>RIGHT("a12035090",LEN("a12035090")-1)</f>
        <v>12035090</v>
      </c>
      <c r="C382" s="169" t="s">
        <v>2262</v>
      </c>
      <c r="D382" s="170">
        <v>33228</v>
      </c>
      <c r="E382" s="169" t="s">
        <v>1533</v>
      </c>
      <c r="F382" s="168">
        <f t="shared" si="5"/>
      </c>
      <c r="G382" s="169" t="s">
        <v>1534</v>
      </c>
      <c r="H382" s="169" t="s">
        <v>2244</v>
      </c>
      <c r="I382" s="169" t="s">
        <v>2245</v>
      </c>
      <c r="J382" s="171"/>
    </row>
    <row r="383" spans="1:10" ht="19.5" customHeight="1">
      <c r="A383" s="167" t="s">
        <v>2263</v>
      </c>
      <c r="B383" s="168" t="str">
        <f>RIGHT("a12035091",LEN("a12035091")-1)</f>
        <v>12035091</v>
      </c>
      <c r="C383" s="169" t="s">
        <v>2264</v>
      </c>
      <c r="D383" s="170">
        <v>32819</v>
      </c>
      <c r="E383" s="169" t="s">
        <v>1533</v>
      </c>
      <c r="F383" s="168">
        <f t="shared" si="5"/>
      </c>
      <c r="G383" s="169" t="s">
        <v>1534</v>
      </c>
      <c r="H383" s="169" t="s">
        <v>2244</v>
      </c>
      <c r="I383" s="169" t="s">
        <v>2245</v>
      </c>
      <c r="J383" s="171"/>
    </row>
    <row r="384" spans="1:10" ht="19.5" customHeight="1">
      <c r="A384" s="167" t="s">
        <v>2265</v>
      </c>
      <c r="B384" s="168" t="str">
        <f>RIGHT("a12035399",LEN("a12035399")-1)</f>
        <v>12035399</v>
      </c>
      <c r="C384" s="169" t="s">
        <v>2266</v>
      </c>
      <c r="D384" s="170">
        <v>32953</v>
      </c>
      <c r="E384" s="169" t="s">
        <v>1533</v>
      </c>
      <c r="F384" s="168">
        <f t="shared" si="5"/>
      </c>
      <c r="G384" s="169" t="s">
        <v>1534</v>
      </c>
      <c r="H384" s="169" t="s">
        <v>2244</v>
      </c>
      <c r="I384" s="169" t="s">
        <v>2245</v>
      </c>
      <c r="J384" s="171"/>
    </row>
    <row r="385" spans="1:10" ht="19.5" customHeight="1">
      <c r="A385" s="167" t="s">
        <v>2267</v>
      </c>
      <c r="B385" s="168" t="str">
        <f>RIGHT("a12035400",LEN("a12035400")-1)</f>
        <v>12035400</v>
      </c>
      <c r="C385" s="169" t="s">
        <v>2268</v>
      </c>
      <c r="D385" s="170">
        <v>33223</v>
      </c>
      <c r="E385" s="169" t="s">
        <v>1533</v>
      </c>
      <c r="F385" s="168">
        <f t="shared" si="5"/>
      </c>
      <c r="G385" s="169" t="s">
        <v>1534</v>
      </c>
      <c r="H385" s="169" t="s">
        <v>2244</v>
      </c>
      <c r="I385" s="169" t="s">
        <v>2245</v>
      </c>
      <c r="J385" s="171"/>
    </row>
    <row r="386" spans="1:10" ht="19.5" customHeight="1">
      <c r="A386" s="167" t="s">
        <v>2269</v>
      </c>
      <c r="B386" s="168" t="str">
        <f>RIGHT("a12035092",LEN("a12035092")-1)</f>
        <v>12035092</v>
      </c>
      <c r="C386" s="169" t="s">
        <v>2270</v>
      </c>
      <c r="D386" s="170">
        <v>32612</v>
      </c>
      <c r="E386" s="169" t="s">
        <v>1533</v>
      </c>
      <c r="F386" s="168">
        <f aca="true" t="shared" si="6" ref="F386:F449">RIGHT("a",LEN("a")-1)</f>
      </c>
      <c r="G386" s="169" t="s">
        <v>1534</v>
      </c>
      <c r="H386" s="169" t="s">
        <v>2244</v>
      </c>
      <c r="I386" s="169" t="s">
        <v>2245</v>
      </c>
      <c r="J386" s="171"/>
    </row>
    <row r="387" spans="1:10" ht="19.5" customHeight="1">
      <c r="A387" s="167" t="s">
        <v>2271</v>
      </c>
      <c r="B387" s="168" t="str">
        <f>RIGHT("a12035411",LEN("a12035411")-1)</f>
        <v>12035411</v>
      </c>
      <c r="C387" s="169" t="s">
        <v>2272</v>
      </c>
      <c r="D387" s="170">
        <v>32233</v>
      </c>
      <c r="E387" s="169" t="s">
        <v>1533</v>
      </c>
      <c r="F387" s="168">
        <f t="shared" si="6"/>
      </c>
      <c r="G387" s="169" t="s">
        <v>1534</v>
      </c>
      <c r="H387" s="169" t="s">
        <v>2244</v>
      </c>
      <c r="I387" s="169" t="s">
        <v>2245</v>
      </c>
      <c r="J387" s="171"/>
    </row>
    <row r="388" spans="1:10" ht="19.5" customHeight="1">
      <c r="A388" s="167" t="s">
        <v>2273</v>
      </c>
      <c r="B388" s="168" t="str">
        <f>RIGHT("a12035407",LEN("a12035407")-1)</f>
        <v>12035407</v>
      </c>
      <c r="C388" s="169" t="s">
        <v>2274</v>
      </c>
      <c r="D388" s="170">
        <v>33066</v>
      </c>
      <c r="E388" s="169" t="s">
        <v>1533</v>
      </c>
      <c r="F388" s="168">
        <f t="shared" si="6"/>
      </c>
      <c r="G388" s="169" t="s">
        <v>1534</v>
      </c>
      <c r="H388" s="169" t="s">
        <v>2244</v>
      </c>
      <c r="I388" s="169" t="s">
        <v>2245</v>
      </c>
      <c r="J388" s="171"/>
    </row>
    <row r="389" spans="1:10" ht="19.5" customHeight="1">
      <c r="A389" s="167" t="s">
        <v>2275</v>
      </c>
      <c r="B389" s="168" t="str">
        <f>RIGHT("a12035412",LEN("a12035412")-1)</f>
        <v>12035412</v>
      </c>
      <c r="C389" s="169" t="s">
        <v>2276</v>
      </c>
      <c r="D389" s="170">
        <v>32901</v>
      </c>
      <c r="E389" s="169" t="s">
        <v>1533</v>
      </c>
      <c r="F389" s="168">
        <f t="shared" si="6"/>
      </c>
      <c r="G389" s="169" t="s">
        <v>1534</v>
      </c>
      <c r="H389" s="169" t="s">
        <v>2244</v>
      </c>
      <c r="I389" s="169" t="s">
        <v>2245</v>
      </c>
      <c r="J389" s="171"/>
    </row>
    <row r="390" spans="1:10" ht="19.5" customHeight="1">
      <c r="A390" s="167" t="s">
        <v>2277</v>
      </c>
      <c r="B390" s="168" t="str">
        <f>RIGHT("a12035093",LEN("a12035093")-1)</f>
        <v>12035093</v>
      </c>
      <c r="C390" s="169" t="s">
        <v>2278</v>
      </c>
      <c r="D390" s="170">
        <v>33137</v>
      </c>
      <c r="E390" s="169" t="s">
        <v>1533</v>
      </c>
      <c r="F390" s="168">
        <f t="shared" si="6"/>
      </c>
      <c r="G390" s="169" t="s">
        <v>1534</v>
      </c>
      <c r="H390" s="169" t="s">
        <v>2244</v>
      </c>
      <c r="I390" s="169" t="s">
        <v>2245</v>
      </c>
      <c r="J390" s="171"/>
    </row>
    <row r="391" spans="1:10" ht="19.5" customHeight="1">
      <c r="A391" s="167" t="s">
        <v>2279</v>
      </c>
      <c r="B391" s="168" t="str">
        <f>RIGHT("a12035402",LEN("a12035402")-1)</f>
        <v>12035402</v>
      </c>
      <c r="C391" s="169" t="s">
        <v>1873</v>
      </c>
      <c r="D391" s="170">
        <v>32558</v>
      </c>
      <c r="E391" s="169" t="s">
        <v>1533</v>
      </c>
      <c r="F391" s="168">
        <f t="shared" si="6"/>
      </c>
      <c r="G391" s="169" t="s">
        <v>1534</v>
      </c>
      <c r="H391" s="169" t="s">
        <v>2244</v>
      </c>
      <c r="I391" s="169" t="s">
        <v>2245</v>
      </c>
      <c r="J391" s="171"/>
    </row>
    <row r="392" spans="1:10" ht="19.5" customHeight="1">
      <c r="A392" s="167" t="s">
        <v>2280</v>
      </c>
      <c r="B392" s="168" t="str">
        <f>RIGHT("a12035401",LEN("a12035401")-1)</f>
        <v>12035401</v>
      </c>
      <c r="C392" s="169" t="s">
        <v>2281</v>
      </c>
      <c r="D392" s="170">
        <v>33055</v>
      </c>
      <c r="E392" s="169" t="s">
        <v>1533</v>
      </c>
      <c r="F392" s="168">
        <f t="shared" si="6"/>
      </c>
      <c r="G392" s="169" t="s">
        <v>1534</v>
      </c>
      <c r="H392" s="169" t="s">
        <v>2244</v>
      </c>
      <c r="I392" s="169" t="s">
        <v>2245</v>
      </c>
      <c r="J392" s="171"/>
    </row>
    <row r="393" spans="1:10" ht="19.5" customHeight="1">
      <c r="A393" s="167" t="s">
        <v>2282</v>
      </c>
      <c r="B393" s="168" t="str">
        <f>RIGHT("a12035094",LEN("a12035094")-1)</f>
        <v>12035094</v>
      </c>
      <c r="C393" s="169" t="s">
        <v>2283</v>
      </c>
      <c r="D393" s="170">
        <v>32679</v>
      </c>
      <c r="E393" s="169" t="s">
        <v>1533</v>
      </c>
      <c r="F393" s="168">
        <f t="shared" si="6"/>
      </c>
      <c r="G393" s="169" t="s">
        <v>1534</v>
      </c>
      <c r="H393" s="169" t="s">
        <v>2244</v>
      </c>
      <c r="I393" s="169" t="s">
        <v>2245</v>
      </c>
      <c r="J393" s="171"/>
    </row>
    <row r="394" spans="1:10" ht="19.5" customHeight="1">
      <c r="A394" s="167" t="s">
        <v>2284</v>
      </c>
      <c r="B394" s="168" t="str">
        <f>RIGHT("a12035403",LEN("a12035403")-1)</f>
        <v>12035403</v>
      </c>
      <c r="C394" s="169" t="s">
        <v>2285</v>
      </c>
      <c r="D394" s="170">
        <v>30930</v>
      </c>
      <c r="E394" s="169" t="s">
        <v>1533</v>
      </c>
      <c r="F394" s="168">
        <f t="shared" si="6"/>
      </c>
      <c r="G394" s="169" t="s">
        <v>1534</v>
      </c>
      <c r="H394" s="169" t="s">
        <v>2244</v>
      </c>
      <c r="I394" s="169" t="s">
        <v>2245</v>
      </c>
      <c r="J394" s="171"/>
    </row>
    <row r="395" spans="1:10" ht="19.5" customHeight="1">
      <c r="A395" s="167" t="s">
        <v>2286</v>
      </c>
      <c r="B395" s="168" t="str">
        <f>RIGHT("a12035396",LEN("a12035396")-1)</f>
        <v>12035396</v>
      </c>
      <c r="C395" s="169" t="s">
        <v>2287</v>
      </c>
      <c r="D395" s="170">
        <v>30844</v>
      </c>
      <c r="E395" s="169" t="s">
        <v>95</v>
      </c>
      <c r="F395" s="168">
        <f t="shared" si="6"/>
      </c>
      <c r="G395" s="169" t="s">
        <v>1534</v>
      </c>
      <c r="H395" s="169" t="s">
        <v>2244</v>
      </c>
      <c r="I395" s="169" t="s">
        <v>2245</v>
      </c>
      <c r="J395" s="171"/>
    </row>
    <row r="396" spans="1:10" ht="19.5" customHeight="1">
      <c r="A396" s="167" t="s">
        <v>2288</v>
      </c>
      <c r="B396" s="168" t="str">
        <f>RIGHT("a12035408",LEN("a12035408")-1)</f>
        <v>12035408</v>
      </c>
      <c r="C396" s="169" t="s">
        <v>2289</v>
      </c>
      <c r="D396" s="170">
        <v>32101</v>
      </c>
      <c r="E396" s="169" t="s">
        <v>1533</v>
      </c>
      <c r="F396" s="168">
        <f t="shared" si="6"/>
      </c>
      <c r="G396" s="169" t="s">
        <v>1534</v>
      </c>
      <c r="H396" s="169" t="s">
        <v>2244</v>
      </c>
      <c r="I396" s="169" t="s">
        <v>2245</v>
      </c>
      <c r="J396" s="171"/>
    </row>
    <row r="397" spans="1:10" ht="19.5" customHeight="1">
      <c r="A397" s="167" t="s">
        <v>2290</v>
      </c>
      <c r="B397" s="168" t="str">
        <f>RIGHT("a12035413",LEN("a12035413")-1)</f>
        <v>12035413</v>
      </c>
      <c r="C397" s="169" t="s">
        <v>2291</v>
      </c>
      <c r="D397" s="170">
        <v>32985</v>
      </c>
      <c r="E397" s="169" t="s">
        <v>1533</v>
      </c>
      <c r="F397" s="168">
        <f t="shared" si="6"/>
      </c>
      <c r="G397" s="169" t="s">
        <v>1534</v>
      </c>
      <c r="H397" s="169" t="s">
        <v>2244</v>
      </c>
      <c r="I397" s="169" t="s">
        <v>2245</v>
      </c>
      <c r="J397" s="171"/>
    </row>
    <row r="398" spans="1:10" ht="19.5" customHeight="1">
      <c r="A398" s="167" t="s">
        <v>2292</v>
      </c>
      <c r="B398" s="168" t="str">
        <f>RIGHT("a12035395",LEN("a12035395")-1)</f>
        <v>12035395</v>
      </c>
      <c r="C398" s="169" t="s">
        <v>1937</v>
      </c>
      <c r="D398" s="170">
        <v>32695</v>
      </c>
      <c r="E398" s="169" t="s">
        <v>1533</v>
      </c>
      <c r="F398" s="168">
        <f t="shared" si="6"/>
      </c>
      <c r="G398" s="169" t="s">
        <v>1534</v>
      </c>
      <c r="H398" s="169" t="s">
        <v>2244</v>
      </c>
      <c r="I398" s="169" t="s">
        <v>2245</v>
      </c>
      <c r="J398" s="171"/>
    </row>
    <row r="399" spans="1:10" ht="19.5" customHeight="1">
      <c r="A399" s="167" t="s">
        <v>2293</v>
      </c>
      <c r="B399" s="168" t="str">
        <f>RIGHT("a12035414",LEN("a12035414")-1)</f>
        <v>12035414</v>
      </c>
      <c r="C399" s="169" t="s">
        <v>2294</v>
      </c>
      <c r="D399" s="170">
        <v>33116</v>
      </c>
      <c r="E399" s="169" t="s">
        <v>1533</v>
      </c>
      <c r="F399" s="168">
        <f t="shared" si="6"/>
      </c>
      <c r="G399" s="169" t="s">
        <v>1534</v>
      </c>
      <c r="H399" s="169" t="s">
        <v>2244</v>
      </c>
      <c r="I399" s="169" t="s">
        <v>2245</v>
      </c>
      <c r="J399" s="171"/>
    </row>
    <row r="400" spans="1:10" ht="19.5" customHeight="1">
      <c r="A400" s="167" t="s">
        <v>2295</v>
      </c>
      <c r="B400" s="168" t="str">
        <f>RIGHT("a12035409",LEN("a12035409")-1)</f>
        <v>12035409</v>
      </c>
      <c r="C400" s="169" t="s">
        <v>155</v>
      </c>
      <c r="D400" s="170">
        <v>32028</v>
      </c>
      <c r="E400" s="169" t="s">
        <v>1533</v>
      </c>
      <c r="F400" s="168">
        <f t="shared" si="6"/>
      </c>
      <c r="G400" s="169" t="s">
        <v>1534</v>
      </c>
      <c r="H400" s="169" t="s">
        <v>2244</v>
      </c>
      <c r="I400" s="169" t="s">
        <v>2245</v>
      </c>
      <c r="J400" s="171"/>
    </row>
    <row r="401" spans="1:10" ht="19.5" customHeight="1">
      <c r="A401" s="167" t="s">
        <v>2296</v>
      </c>
      <c r="B401" s="168" t="str">
        <f>RIGHT("a12035095",LEN("a12035095")-1)</f>
        <v>12035095</v>
      </c>
      <c r="C401" s="169" t="s">
        <v>2297</v>
      </c>
      <c r="D401" s="170">
        <v>32529</v>
      </c>
      <c r="E401" s="169" t="s">
        <v>1533</v>
      </c>
      <c r="F401" s="168">
        <f t="shared" si="6"/>
      </c>
      <c r="G401" s="169" t="s">
        <v>1534</v>
      </c>
      <c r="H401" s="169" t="s">
        <v>2244</v>
      </c>
      <c r="I401" s="169" t="s">
        <v>2245</v>
      </c>
      <c r="J401" s="171"/>
    </row>
    <row r="402" spans="1:10" ht="19.5" customHeight="1">
      <c r="A402" s="167" t="s">
        <v>2298</v>
      </c>
      <c r="B402" s="168" t="str">
        <f>RIGHT("a12035096",LEN("a12035096")-1)</f>
        <v>12035096</v>
      </c>
      <c r="C402" s="169" t="s">
        <v>2299</v>
      </c>
      <c r="D402" s="170">
        <v>32684</v>
      </c>
      <c r="E402" s="169" t="s">
        <v>95</v>
      </c>
      <c r="F402" s="168">
        <f t="shared" si="6"/>
      </c>
      <c r="G402" s="169" t="s">
        <v>1534</v>
      </c>
      <c r="H402" s="169" t="s">
        <v>2244</v>
      </c>
      <c r="I402" s="169" t="s">
        <v>2245</v>
      </c>
      <c r="J402" s="171"/>
    </row>
    <row r="403" spans="1:10" ht="19.5" customHeight="1">
      <c r="A403" s="167" t="s">
        <v>2300</v>
      </c>
      <c r="B403" s="168" t="str">
        <f>RIGHT("a12035097",LEN("a12035097")-1)</f>
        <v>12035097</v>
      </c>
      <c r="C403" s="169" t="s">
        <v>2301</v>
      </c>
      <c r="D403" s="170">
        <v>33015</v>
      </c>
      <c r="E403" s="169" t="s">
        <v>95</v>
      </c>
      <c r="F403" s="168">
        <f t="shared" si="6"/>
      </c>
      <c r="G403" s="169" t="s">
        <v>1534</v>
      </c>
      <c r="H403" s="169" t="s">
        <v>2244</v>
      </c>
      <c r="I403" s="169" t="s">
        <v>2245</v>
      </c>
      <c r="J403" s="171"/>
    </row>
    <row r="404" spans="1:10" ht="19.5" customHeight="1">
      <c r="A404" s="167" t="s">
        <v>2302</v>
      </c>
      <c r="B404" s="168" t="str">
        <f>RIGHT("a12035405",LEN("a12035405")-1)</f>
        <v>12035405</v>
      </c>
      <c r="C404" s="169" t="s">
        <v>2303</v>
      </c>
      <c r="D404" s="170">
        <v>32043</v>
      </c>
      <c r="E404" s="169" t="s">
        <v>1533</v>
      </c>
      <c r="F404" s="168">
        <f t="shared" si="6"/>
      </c>
      <c r="G404" s="169" t="s">
        <v>1534</v>
      </c>
      <c r="H404" s="169" t="s">
        <v>2244</v>
      </c>
      <c r="I404" s="169" t="s">
        <v>2245</v>
      </c>
      <c r="J404" s="171"/>
    </row>
    <row r="405" spans="1:10" ht="19.5" customHeight="1">
      <c r="A405" s="167" t="s">
        <v>2304</v>
      </c>
      <c r="B405" s="168" t="str">
        <f>RIGHT("a12035098",LEN("a12035098")-1)</f>
        <v>12035098</v>
      </c>
      <c r="C405" s="169" t="s">
        <v>2305</v>
      </c>
      <c r="D405" s="170">
        <v>31986</v>
      </c>
      <c r="E405" s="169" t="s">
        <v>1533</v>
      </c>
      <c r="F405" s="168">
        <f t="shared" si="6"/>
      </c>
      <c r="G405" s="169" t="s">
        <v>1534</v>
      </c>
      <c r="H405" s="169" t="s">
        <v>2244</v>
      </c>
      <c r="I405" s="169" t="s">
        <v>2245</v>
      </c>
      <c r="J405" s="171"/>
    </row>
    <row r="406" spans="1:10" ht="19.5" customHeight="1">
      <c r="A406" s="167" t="s">
        <v>2306</v>
      </c>
      <c r="B406" s="168" t="str">
        <f>RIGHT("a12035410",LEN("a12035410")-1)</f>
        <v>12035410</v>
      </c>
      <c r="C406" s="169" t="s">
        <v>2307</v>
      </c>
      <c r="D406" s="170">
        <v>32944</v>
      </c>
      <c r="E406" s="169" t="s">
        <v>1533</v>
      </c>
      <c r="F406" s="168">
        <f t="shared" si="6"/>
      </c>
      <c r="G406" s="169" t="s">
        <v>1534</v>
      </c>
      <c r="H406" s="169" t="s">
        <v>2244</v>
      </c>
      <c r="I406" s="169" t="s">
        <v>2245</v>
      </c>
      <c r="J406" s="171"/>
    </row>
    <row r="407" spans="1:10" ht="19.5" customHeight="1">
      <c r="A407" s="167" t="s">
        <v>2308</v>
      </c>
      <c r="B407" s="168" t="str">
        <f>RIGHT("a12035507",LEN("a12035507")-1)</f>
        <v>12035507</v>
      </c>
      <c r="C407" s="169" t="s">
        <v>1467</v>
      </c>
      <c r="D407" s="170">
        <v>32927</v>
      </c>
      <c r="E407" s="169" t="s">
        <v>1533</v>
      </c>
      <c r="F407" s="168">
        <f t="shared" si="6"/>
      </c>
      <c r="G407" s="169" t="s">
        <v>1534</v>
      </c>
      <c r="H407" s="169" t="s">
        <v>2309</v>
      </c>
      <c r="I407" s="169" t="s">
        <v>2310</v>
      </c>
      <c r="J407" s="171"/>
    </row>
    <row r="408" spans="1:10" ht="19.5" customHeight="1">
      <c r="A408" s="167" t="s">
        <v>2311</v>
      </c>
      <c r="B408" s="168" t="str">
        <f>RIGHT("a12035500",LEN("a12035500")-1)</f>
        <v>12035500</v>
      </c>
      <c r="C408" s="169" t="s">
        <v>1448</v>
      </c>
      <c r="D408" s="170">
        <v>32559</v>
      </c>
      <c r="E408" s="169" t="s">
        <v>1533</v>
      </c>
      <c r="F408" s="168">
        <f t="shared" si="6"/>
      </c>
      <c r="G408" s="169" t="s">
        <v>1534</v>
      </c>
      <c r="H408" s="169" t="s">
        <v>2309</v>
      </c>
      <c r="I408" s="169" t="s">
        <v>2310</v>
      </c>
      <c r="J408" s="171"/>
    </row>
    <row r="409" spans="1:10" ht="19.5" customHeight="1">
      <c r="A409" s="167" t="s">
        <v>2312</v>
      </c>
      <c r="B409" s="168" t="str">
        <f>RIGHT("a12035496",LEN("a12035496")-1)</f>
        <v>12035496</v>
      </c>
      <c r="C409" s="169" t="s">
        <v>1447</v>
      </c>
      <c r="D409" s="170">
        <v>29255</v>
      </c>
      <c r="E409" s="169" t="s">
        <v>1533</v>
      </c>
      <c r="F409" s="168">
        <f t="shared" si="6"/>
      </c>
      <c r="G409" s="169" t="s">
        <v>1534</v>
      </c>
      <c r="H409" s="169" t="s">
        <v>2309</v>
      </c>
      <c r="I409" s="169" t="s">
        <v>2310</v>
      </c>
      <c r="J409" s="171"/>
    </row>
    <row r="410" spans="1:10" ht="19.5" customHeight="1">
      <c r="A410" s="167" t="s">
        <v>2313</v>
      </c>
      <c r="B410" s="168" t="str">
        <f>RIGHT("a12035488",LEN("a12035488")-1)</f>
        <v>12035488</v>
      </c>
      <c r="C410" s="169" t="s">
        <v>1449</v>
      </c>
      <c r="D410" s="170">
        <v>33115</v>
      </c>
      <c r="E410" s="169" t="s">
        <v>1533</v>
      </c>
      <c r="F410" s="168">
        <f t="shared" si="6"/>
      </c>
      <c r="G410" s="169" t="s">
        <v>1534</v>
      </c>
      <c r="H410" s="169" t="s">
        <v>2309</v>
      </c>
      <c r="I410" s="169" t="s">
        <v>2310</v>
      </c>
      <c r="J410" s="171"/>
    </row>
    <row r="411" spans="1:10" ht="19.5" customHeight="1">
      <c r="A411" s="167" t="s">
        <v>2314</v>
      </c>
      <c r="B411" s="168" t="str">
        <f>RIGHT("a12035489",LEN("a12035489")-1)</f>
        <v>12035489</v>
      </c>
      <c r="C411" s="169" t="s">
        <v>1450</v>
      </c>
      <c r="D411" s="170">
        <v>33195</v>
      </c>
      <c r="E411" s="169" t="s">
        <v>1533</v>
      </c>
      <c r="F411" s="168">
        <f t="shared" si="6"/>
      </c>
      <c r="G411" s="169" t="s">
        <v>1534</v>
      </c>
      <c r="H411" s="169" t="s">
        <v>2309</v>
      </c>
      <c r="I411" s="169" t="s">
        <v>2310</v>
      </c>
      <c r="J411" s="171"/>
    </row>
    <row r="412" spans="1:10" ht="19.5" customHeight="1">
      <c r="A412" s="167" t="s">
        <v>2315</v>
      </c>
      <c r="B412" s="168" t="str">
        <f>RIGHT("a12035508",LEN("a12035508")-1)</f>
        <v>12035508</v>
      </c>
      <c r="C412" s="169" t="s">
        <v>1468</v>
      </c>
      <c r="D412" s="170">
        <v>32617</v>
      </c>
      <c r="E412" s="169" t="s">
        <v>1533</v>
      </c>
      <c r="F412" s="168">
        <f t="shared" si="6"/>
      </c>
      <c r="G412" s="169" t="s">
        <v>1534</v>
      </c>
      <c r="H412" s="169" t="s">
        <v>2309</v>
      </c>
      <c r="I412" s="169" t="s">
        <v>2310</v>
      </c>
      <c r="J412" s="171"/>
    </row>
    <row r="413" spans="1:10" ht="19.5" customHeight="1">
      <c r="A413" s="167" t="s">
        <v>2316</v>
      </c>
      <c r="B413" s="168" t="str">
        <f>RIGHT("a12035497",LEN("a12035497")-1)</f>
        <v>12035497</v>
      </c>
      <c r="C413" s="169" t="s">
        <v>1451</v>
      </c>
      <c r="D413" s="170">
        <v>29599</v>
      </c>
      <c r="E413" s="169" t="s">
        <v>1533</v>
      </c>
      <c r="F413" s="168">
        <f t="shared" si="6"/>
      </c>
      <c r="G413" s="169" t="s">
        <v>1534</v>
      </c>
      <c r="H413" s="169" t="s">
        <v>2309</v>
      </c>
      <c r="I413" s="169" t="s">
        <v>2310</v>
      </c>
      <c r="J413" s="171"/>
    </row>
    <row r="414" spans="1:10" ht="19.5" customHeight="1">
      <c r="A414" s="167" t="s">
        <v>2317</v>
      </c>
      <c r="B414" s="168" t="str">
        <f>RIGHT("a12035503",LEN("a12035503")-1)</f>
        <v>12035503</v>
      </c>
      <c r="C414" s="169" t="s">
        <v>200</v>
      </c>
      <c r="D414" s="170">
        <v>32253</v>
      </c>
      <c r="E414" s="169" t="s">
        <v>1533</v>
      </c>
      <c r="F414" s="168">
        <f t="shared" si="6"/>
      </c>
      <c r="G414" s="169" t="s">
        <v>1534</v>
      </c>
      <c r="H414" s="169" t="s">
        <v>2309</v>
      </c>
      <c r="I414" s="169" t="s">
        <v>2310</v>
      </c>
      <c r="J414" s="171"/>
    </row>
    <row r="415" spans="1:10" ht="19.5" customHeight="1">
      <c r="A415" s="167" t="s">
        <v>2318</v>
      </c>
      <c r="B415" s="168" t="str">
        <f>RIGHT("a12035486",LEN("a12035486")-1)</f>
        <v>12035486</v>
      </c>
      <c r="C415" s="169" t="s">
        <v>1452</v>
      </c>
      <c r="D415" s="170">
        <v>32965</v>
      </c>
      <c r="E415" s="169" t="s">
        <v>1533</v>
      </c>
      <c r="F415" s="168">
        <f t="shared" si="6"/>
      </c>
      <c r="G415" s="169" t="s">
        <v>1534</v>
      </c>
      <c r="H415" s="169" t="s">
        <v>2309</v>
      </c>
      <c r="I415" s="169" t="s">
        <v>2310</v>
      </c>
      <c r="J415" s="171"/>
    </row>
    <row r="416" spans="1:10" ht="19.5" customHeight="1">
      <c r="A416" s="167" t="s">
        <v>2319</v>
      </c>
      <c r="B416" s="168" t="str">
        <f>RIGHT("a12035501",LEN("a12035501")-1)</f>
        <v>12035501</v>
      </c>
      <c r="C416" s="169" t="s">
        <v>1453</v>
      </c>
      <c r="D416" s="170">
        <v>32582</v>
      </c>
      <c r="E416" s="169" t="s">
        <v>95</v>
      </c>
      <c r="F416" s="168">
        <f t="shared" si="6"/>
      </c>
      <c r="G416" s="169" t="s">
        <v>1534</v>
      </c>
      <c r="H416" s="169" t="s">
        <v>2309</v>
      </c>
      <c r="I416" s="169" t="s">
        <v>2310</v>
      </c>
      <c r="J416" s="171"/>
    </row>
    <row r="417" spans="1:10" ht="19.5" customHeight="1">
      <c r="A417" s="167" t="s">
        <v>2320</v>
      </c>
      <c r="B417" s="168" t="str">
        <f>RIGHT("a12035197",LEN("a12035197")-1)</f>
        <v>12035197</v>
      </c>
      <c r="C417" s="169" t="s">
        <v>2321</v>
      </c>
      <c r="D417" s="170">
        <v>29795</v>
      </c>
      <c r="E417" s="169" t="s">
        <v>1533</v>
      </c>
      <c r="F417" s="168">
        <f t="shared" si="6"/>
      </c>
      <c r="G417" s="169" t="s">
        <v>1534</v>
      </c>
      <c r="H417" s="169" t="s">
        <v>2309</v>
      </c>
      <c r="I417" s="169" t="s">
        <v>2310</v>
      </c>
      <c r="J417" s="171"/>
    </row>
    <row r="418" spans="1:10" ht="19.5" customHeight="1">
      <c r="A418" s="167" t="s">
        <v>2322</v>
      </c>
      <c r="B418" s="168" t="str">
        <f>RIGHT("a12035198",LEN("a12035198")-1)</f>
        <v>12035198</v>
      </c>
      <c r="C418" s="169" t="s">
        <v>2323</v>
      </c>
      <c r="D418" s="170">
        <v>30532</v>
      </c>
      <c r="E418" s="169" t="s">
        <v>1533</v>
      </c>
      <c r="F418" s="168">
        <f t="shared" si="6"/>
      </c>
      <c r="G418" s="169" t="s">
        <v>1534</v>
      </c>
      <c r="H418" s="169" t="s">
        <v>2309</v>
      </c>
      <c r="I418" s="169" t="s">
        <v>2310</v>
      </c>
      <c r="J418" s="171"/>
    </row>
    <row r="419" spans="1:10" ht="19.5" customHeight="1">
      <c r="A419" s="167" t="s">
        <v>2324</v>
      </c>
      <c r="B419" s="168" t="str">
        <f>RIGHT("a12035498",LEN("a12035498")-1)</f>
        <v>12035498</v>
      </c>
      <c r="C419" s="169" t="s">
        <v>1454</v>
      </c>
      <c r="D419" s="170">
        <v>32885</v>
      </c>
      <c r="E419" s="169" t="s">
        <v>1533</v>
      </c>
      <c r="F419" s="168">
        <f t="shared" si="6"/>
      </c>
      <c r="G419" s="169" t="s">
        <v>1534</v>
      </c>
      <c r="H419" s="169" t="s">
        <v>2309</v>
      </c>
      <c r="I419" s="169" t="s">
        <v>2310</v>
      </c>
      <c r="J419" s="171"/>
    </row>
    <row r="420" spans="1:10" ht="19.5" customHeight="1">
      <c r="A420" s="167" t="s">
        <v>2325</v>
      </c>
      <c r="B420" s="168" t="str">
        <f>RIGHT("a12035494",LEN("a12035494")-1)</f>
        <v>12035494</v>
      </c>
      <c r="C420" s="169" t="s">
        <v>1455</v>
      </c>
      <c r="D420" s="170">
        <v>33203</v>
      </c>
      <c r="E420" s="169" t="s">
        <v>1533</v>
      </c>
      <c r="F420" s="168">
        <f t="shared" si="6"/>
      </c>
      <c r="G420" s="169" t="s">
        <v>1534</v>
      </c>
      <c r="H420" s="169" t="s">
        <v>2309</v>
      </c>
      <c r="I420" s="169" t="s">
        <v>2310</v>
      </c>
      <c r="J420" s="171"/>
    </row>
    <row r="421" spans="1:10" ht="19.5" customHeight="1">
      <c r="A421" s="167" t="s">
        <v>2326</v>
      </c>
      <c r="B421" s="168" t="str">
        <f>RIGHT("a12035487",LEN("a12035487")-1)</f>
        <v>12035487</v>
      </c>
      <c r="C421" s="169" t="s">
        <v>1456</v>
      </c>
      <c r="D421" s="170">
        <v>32942</v>
      </c>
      <c r="E421" s="169" t="s">
        <v>1533</v>
      </c>
      <c r="F421" s="168">
        <f t="shared" si="6"/>
      </c>
      <c r="G421" s="169" t="s">
        <v>1534</v>
      </c>
      <c r="H421" s="169" t="s">
        <v>2309</v>
      </c>
      <c r="I421" s="169" t="s">
        <v>2310</v>
      </c>
      <c r="J421" s="171"/>
    </row>
    <row r="422" spans="1:10" ht="19.5" customHeight="1">
      <c r="A422" s="167" t="s">
        <v>2327</v>
      </c>
      <c r="B422" s="168" t="str">
        <f>RIGHT("a12035504",LEN("a12035504")-1)</f>
        <v>12035504</v>
      </c>
      <c r="C422" s="169" t="s">
        <v>1457</v>
      </c>
      <c r="D422" s="170">
        <v>33201</v>
      </c>
      <c r="E422" s="169" t="s">
        <v>1533</v>
      </c>
      <c r="F422" s="168">
        <f t="shared" si="6"/>
      </c>
      <c r="G422" s="169" t="s">
        <v>1534</v>
      </c>
      <c r="H422" s="169" t="s">
        <v>2309</v>
      </c>
      <c r="I422" s="169" t="s">
        <v>2310</v>
      </c>
      <c r="J422" s="171"/>
    </row>
    <row r="423" spans="1:10" ht="19.5" customHeight="1">
      <c r="A423" s="167" t="s">
        <v>2328</v>
      </c>
      <c r="B423" s="168" t="str">
        <f>RIGHT("a12035505",LEN("a12035505")-1)</f>
        <v>12035505</v>
      </c>
      <c r="C423" s="169" t="s">
        <v>1458</v>
      </c>
      <c r="D423" s="170">
        <v>31741</v>
      </c>
      <c r="E423" s="169" t="s">
        <v>1533</v>
      </c>
      <c r="F423" s="168">
        <f t="shared" si="6"/>
      </c>
      <c r="G423" s="169" t="s">
        <v>1534</v>
      </c>
      <c r="H423" s="169" t="s">
        <v>2309</v>
      </c>
      <c r="I423" s="169" t="s">
        <v>2310</v>
      </c>
      <c r="J423" s="171"/>
    </row>
    <row r="424" spans="1:10" ht="19.5" customHeight="1">
      <c r="A424" s="167" t="s">
        <v>2329</v>
      </c>
      <c r="B424" s="168" t="str">
        <f>RIGHT("a12035490",LEN("a12035490")-1)</f>
        <v>12035490</v>
      </c>
      <c r="C424" s="169" t="s">
        <v>1459</v>
      </c>
      <c r="D424" s="170">
        <v>31452</v>
      </c>
      <c r="E424" s="169" t="s">
        <v>1533</v>
      </c>
      <c r="F424" s="168">
        <f t="shared" si="6"/>
      </c>
      <c r="G424" s="169" t="s">
        <v>1534</v>
      </c>
      <c r="H424" s="169" t="s">
        <v>2309</v>
      </c>
      <c r="I424" s="169" t="s">
        <v>2310</v>
      </c>
      <c r="J424" s="171"/>
    </row>
    <row r="425" spans="1:10" ht="19.5" customHeight="1">
      <c r="A425" s="167" t="s">
        <v>2330</v>
      </c>
      <c r="B425" s="168" t="str">
        <f>RIGHT("a12035502",LEN("a12035502")-1)</f>
        <v>12035502</v>
      </c>
      <c r="C425" s="169" t="s">
        <v>1461</v>
      </c>
      <c r="D425" s="170">
        <v>32862</v>
      </c>
      <c r="E425" s="169" t="s">
        <v>1533</v>
      </c>
      <c r="F425" s="168">
        <f t="shared" si="6"/>
      </c>
      <c r="G425" s="169" t="s">
        <v>1534</v>
      </c>
      <c r="H425" s="169" t="s">
        <v>2309</v>
      </c>
      <c r="I425" s="169" t="s">
        <v>2310</v>
      </c>
      <c r="J425" s="171"/>
    </row>
    <row r="426" spans="1:10" ht="19.5" customHeight="1">
      <c r="A426" s="167" t="s">
        <v>2331</v>
      </c>
      <c r="B426" s="168" t="str">
        <f>RIGHT("a12035199",LEN("a12035199")-1)</f>
        <v>12035199</v>
      </c>
      <c r="C426" s="169" t="s">
        <v>1935</v>
      </c>
      <c r="D426" s="170">
        <v>32743</v>
      </c>
      <c r="E426" s="169" t="s">
        <v>1533</v>
      </c>
      <c r="F426" s="168">
        <f t="shared" si="6"/>
      </c>
      <c r="G426" s="169" t="s">
        <v>1534</v>
      </c>
      <c r="H426" s="169" t="s">
        <v>2309</v>
      </c>
      <c r="I426" s="169" t="s">
        <v>2310</v>
      </c>
      <c r="J426" s="171"/>
    </row>
    <row r="427" spans="1:10" ht="19.5" customHeight="1">
      <c r="A427" s="167" t="s">
        <v>2332</v>
      </c>
      <c r="B427" s="168" t="str">
        <f>RIGHT("a12035491",LEN("a12035491")-1)</f>
        <v>12035491</v>
      </c>
      <c r="C427" s="169" t="s">
        <v>1957</v>
      </c>
      <c r="D427" s="170">
        <v>32853</v>
      </c>
      <c r="E427" s="169" t="s">
        <v>1533</v>
      </c>
      <c r="F427" s="168">
        <f t="shared" si="6"/>
      </c>
      <c r="G427" s="169" t="s">
        <v>1534</v>
      </c>
      <c r="H427" s="169" t="s">
        <v>2309</v>
      </c>
      <c r="I427" s="169" t="s">
        <v>2310</v>
      </c>
      <c r="J427" s="171"/>
    </row>
    <row r="428" spans="1:10" ht="19.5" customHeight="1">
      <c r="A428" s="167" t="s">
        <v>2333</v>
      </c>
      <c r="B428" s="168" t="str">
        <f>RIGHT("a12035200",LEN("a12035200")-1)</f>
        <v>12035200</v>
      </c>
      <c r="C428" s="169" t="s">
        <v>2334</v>
      </c>
      <c r="D428" s="170">
        <v>28297</v>
      </c>
      <c r="E428" s="169" t="s">
        <v>1533</v>
      </c>
      <c r="F428" s="168">
        <f t="shared" si="6"/>
      </c>
      <c r="G428" s="169" t="s">
        <v>1534</v>
      </c>
      <c r="H428" s="169" t="s">
        <v>2309</v>
      </c>
      <c r="I428" s="169" t="s">
        <v>2310</v>
      </c>
      <c r="J428" s="171"/>
    </row>
    <row r="429" spans="1:10" ht="19.5" customHeight="1">
      <c r="A429" s="167" t="s">
        <v>2335</v>
      </c>
      <c r="B429" s="168" t="str">
        <f>RIGHT("a12035492",LEN("a12035492")-1)</f>
        <v>12035492</v>
      </c>
      <c r="C429" s="169" t="s">
        <v>1462</v>
      </c>
      <c r="D429" s="170">
        <v>29475</v>
      </c>
      <c r="E429" s="169" t="s">
        <v>1533</v>
      </c>
      <c r="F429" s="168">
        <f t="shared" si="6"/>
      </c>
      <c r="G429" s="169" t="s">
        <v>1534</v>
      </c>
      <c r="H429" s="169" t="s">
        <v>2309</v>
      </c>
      <c r="I429" s="169" t="s">
        <v>2310</v>
      </c>
      <c r="J429" s="171"/>
    </row>
    <row r="430" spans="1:10" ht="19.5" customHeight="1">
      <c r="A430" s="167" t="s">
        <v>2336</v>
      </c>
      <c r="B430" s="168" t="str">
        <f>RIGHT("a12035509",LEN("a12035509")-1)</f>
        <v>12035509</v>
      </c>
      <c r="C430" s="169" t="s">
        <v>1469</v>
      </c>
      <c r="D430" s="170">
        <v>33018</v>
      </c>
      <c r="E430" s="169" t="s">
        <v>1533</v>
      </c>
      <c r="F430" s="168">
        <f t="shared" si="6"/>
      </c>
      <c r="G430" s="169" t="s">
        <v>1534</v>
      </c>
      <c r="H430" s="169" t="s">
        <v>2309</v>
      </c>
      <c r="I430" s="169" t="s">
        <v>2310</v>
      </c>
      <c r="J430" s="171"/>
    </row>
    <row r="431" spans="1:10" ht="19.5" customHeight="1">
      <c r="A431" s="167" t="s">
        <v>2337</v>
      </c>
      <c r="B431" s="168" t="str">
        <f>RIGHT("a12035495",LEN("a12035495")-1)</f>
        <v>12035495</v>
      </c>
      <c r="C431" s="169" t="s">
        <v>1463</v>
      </c>
      <c r="D431" s="170">
        <v>28598</v>
      </c>
      <c r="E431" s="169" t="s">
        <v>95</v>
      </c>
      <c r="F431" s="168">
        <f t="shared" si="6"/>
      </c>
      <c r="G431" s="169" t="s">
        <v>1534</v>
      </c>
      <c r="H431" s="169" t="s">
        <v>2309</v>
      </c>
      <c r="I431" s="169" t="s">
        <v>2310</v>
      </c>
      <c r="J431" s="171"/>
    </row>
    <row r="432" spans="1:10" ht="19.5" customHeight="1">
      <c r="A432" s="167" t="s">
        <v>2338</v>
      </c>
      <c r="B432" s="168" t="str">
        <f>RIGHT("a12035201",LEN("a12035201")-1)</f>
        <v>12035201</v>
      </c>
      <c r="C432" s="169" t="s">
        <v>2339</v>
      </c>
      <c r="D432" s="170">
        <v>31620</v>
      </c>
      <c r="E432" s="169" t="s">
        <v>1533</v>
      </c>
      <c r="F432" s="168">
        <f t="shared" si="6"/>
      </c>
      <c r="G432" s="169" t="s">
        <v>1534</v>
      </c>
      <c r="H432" s="169" t="s">
        <v>2309</v>
      </c>
      <c r="I432" s="169" t="s">
        <v>2310</v>
      </c>
      <c r="J432" s="171"/>
    </row>
    <row r="433" spans="1:10" ht="19.5" customHeight="1">
      <c r="A433" s="167" t="s">
        <v>2340</v>
      </c>
      <c r="B433" s="168" t="str">
        <f>RIGHT("a12035202",LEN("a12035202")-1)</f>
        <v>12035202</v>
      </c>
      <c r="C433" s="169" t="s">
        <v>2341</v>
      </c>
      <c r="D433" s="170">
        <v>31780</v>
      </c>
      <c r="E433" s="169" t="s">
        <v>1533</v>
      </c>
      <c r="F433" s="168">
        <f t="shared" si="6"/>
      </c>
      <c r="G433" s="169" t="s">
        <v>1534</v>
      </c>
      <c r="H433" s="169" t="s">
        <v>2309</v>
      </c>
      <c r="I433" s="169" t="s">
        <v>2310</v>
      </c>
      <c r="J433" s="171"/>
    </row>
    <row r="434" spans="1:10" ht="19.5" customHeight="1">
      <c r="A434" s="167" t="s">
        <v>2342</v>
      </c>
      <c r="B434" s="168" t="str">
        <f>RIGHT("a12035499",LEN("a12035499")-1)</f>
        <v>12035499</v>
      </c>
      <c r="C434" s="169" t="s">
        <v>1464</v>
      </c>
      <c r="D434" s="170">
        <v>33041</v>
      </c>
      <c r="E434" s="169" t="s">
        <v>1533</v>
      </c>
      <c r="F434" s="168">
        <f t="shared" si="6"/>
      </c>
      <c r="G434" s="169" t="s">
        <v>1534</v>
      </c>
      <c r="H434" s="169" t="s">
        <v>2309</v>
      </c>
      <c r="I434" s="169" t="s">
        <v>2310</v>
      </c>
      <c r="J434" s="171"/>
    </row>
    <row r="435" spans="1:10" ht="19.5" customHeight="1">
      <c r="A435" s="167" t="s">
        <v>2343</v>
      </c>
      <c r="B435" s="168" t="str">
        <f>RIGHT("a12035493",LEN("a12035493")-1)</f>
        <v>12035493</v>
      </c>
      <c r="C435" s="169" t="s">
        <v>1465</v>
      </c>
      <c r="D435" s="170">
        <v>30682</v>
      </c>
      <c r="E435" s="169" t="s">
        <v>1533</v>
      </c>
      <c r="F435" s="168">
        <f t="shared" si="6"/>
      </c>
      <c r="G435" s="169" t="s">
        <v>1534</v>
      </c>
      <c r="H435" s="169" t="s">
        <v>2309</v>
      </c>
      <c r="I435" s="169" t="s">
        <v>2310</v>
      </c>
      <c r="J435" s="171"/>
    </row>
    <row r="436" spans="1:10" ht="19.5" customHeight="1">
      <c r="A436" s="167" t="s">
        <v>2344</v>
      </c>
      <c r="B436" s="168" t="str">
        <f>RIGHT("a12035506",LEN("a12035506")-1)</f>
        <v>12035506</v>
      </c>
      <c r="C436" s="169" t="s">
        <v>1466</v>
      </c>
      <c r="D436" s="170">
        <v>27168</v>
      </c>
      <c r="E436" s="169" t="s">
        <v>1533</v>
      </c>
      <c r="F436" s="168">
        <f t="shared" si="6"/>
      </c>
      <c r="G436" s="169" t="s">
        <v>1534</v>
      </c>
      <c r="H436" s="169" t="s">
        <v>2309</v>
      </c>
      <c r="I436" s="169" t="s">
        <v>2310</v>
      </c>
      <c r="J436" s="171"/>
    </row>
    <row r="437" spans="1:10" ht="19.5" customHeight="1">
      <c r="A437" s="167" t="s">
        <v>2345</v>
      </c>
      <c r="B437" s="168" t="str">
        <f>RIGHT("a12035433",LEN("a12035433")-1)</f>
        <v>12035433</v>
      </c>
      <c r="C437" s="169" t="s">
        <v>2346</v>
      </c>
      <c r="D437" s="170">
        <v>32879</v>
      </c>
      <c r="E437" s="169" t="s">
        <v>95</v>
      </c>
      <c r="F437" s="168">
        <f t="shared" si="6"/>
      </c>
      <c r="G437" s="169" t="s">
        <v>1534</v>
      </c>
      <c r="H437" s="169" t="s">
        <v>2173</v>
      </c>
      <c r="I437" s="169" t="s">
        <v>2347</v>
      </c>
      <c r="J437" s="171"/>
    </row>
    <row r="438" spans="1:10" ht="19.5" customHeight="1">
      <c r="A438" s="167" t="s">
        <v>2348</v>
      </c>
      <c r="B438" s="168" t="str">
        <f>RIGHT("a12035429",LEN("a12035429")-1)</f>
        <v>12035429</v>
      </c>
      <c r="C438" s="169" t="s">
        <v>2349</v>
      </c>
      <c r="D438" s="170">
        <v>32888</v>
      </c>
      <c r="E438" s="169" t="s">
        <v>1533</v>
      </c>
      <c r="F438" s="168">
        <f t="shared" si="6"/>
      </c>
      <c r="G438" s="169" t="s">
        <v>1534</v>
      </c>
      <c r="H438" s="169" t="s">
        <v>2173</v>
      </c>
      <c r="I438" s="169" t="s">
        <v>2347</v>
      </c>
      <c r="J438" s="171"/>
    </row>
    <row r="439" spans="1:10" ht="19.5" customHeight="1">
      <c r="A439" s="167" t="s">
        <v>2350</v>
      </c>
      <c r="B439" s="168" t="str">
        <f>RIGHT("a12035694",LEN("a12035694")-1)</f>
        <v>12035694</v>
      </c>
      <c r="C439" s="169" t="s">
        <v>2351</v>
      </c>
      <c r="D439" s="170">
        <v>32268</v>
      </c>
      <c r="E439" s="169" t="s">
        <v>1533</v>
      </c>
      <c r="F439" s="168">
        <f t="shared" si="6"/>
      </c>
      <c r="G439" s="169" t="s">
        <v>1534</v>
      </c>
      <c r="H439" s="169" t="s">
        <v>2173</v>
      </c>
      <c r="I439" s="169" t="s">
        <v>2347</v>
      </c>
      <c r="J439" s="171"/>
    </row>
    <row r="440" spans="1:10" ht="19.5" customHeight="1">
      <c r="A440" s="167" t="s">
        <v>2352</v>
      </c>
      <c r="B440" s="168" t="str">
        <f>RIGHT("a12035119",LEN("a12035119")-1)</f>
        <v>12035119</v>
      </c>
      <c r="C440" s="169" t="s">
        <v>2353</v>
      </c>
      <c r="D440" s="170">
        <v>30965</v>
      </c>
      <c r="E440" s="169" t="s">
        <v>1533</v>
      </c>
      <c r="F440" s="168">
        <f t="shared" si="6"/>
      </c>
      <c r="G440" s="169" t="s">
        <v>1534</v>
      </c>
      <c r="H440" s="169" t="s">
        <v>2173</v>
      </c>
      <c r="I440" s="169" t="s">
        <v>2347</v>
      </c>
      <c r="J440" s="171"/>
    </row>
    <row r="441" spans="1:10" ht="19.5" customHeight="1">
      <c r="A441" s="167" t="s">
        <v>2354</v>
      </c>
      <c r="B441" s="168" t="str">
        <f>RIGHT("a12035120",LEN("a12035120")-1)</f>
        <v>12035120</v>
      </c>
      <c r="C441" s="169" t="s">
        <v>2355</v>
      </c>
      <c r="D441" s="170">
        <v>31452</v>
      </c>
      <c r="E441" s="169" t="s">
        <v>1533</v>
      </c>
      <c r="F441" s="168">
        <f t="shared" si="6"/>
      </c>
      <c r="G441" s="169" t="s">
        <v>1534</v>
      </c>
      <c r="H441" s="169" t="s">
        <v>2173</v>
      </c>
      <c r="I441" s="169" t="s">
        <v>2347</v>
      </c>
      <c r="J441" s="171"/>
    </row>
    <row r="442" spans="1:10" ht="19.5" customHeight="1">
      <c r="A442" s="167" t="s">
        <v>2356</v>
      </c>
      <c r="B442" s="168" t="str">
        <f>RIGHT("a12035444",LEN("a12035444")-1)</f>
        <v>12035444</v>
      </c>
      <c r="C442" s="169" t="s">
        <v>2357</v>
      </c>
      <c r="D442" s="170">
        <v>32738</v>
      </c>
      <c r="E442" s="169" t="s">
        <v>1533</v>
      </c>
      <c r="F442" s="168">
        <f t="shared" si="6"/>
      </c>
      <c r="G442" s="169" t="s">
        <v>1534</v>
      </c>
      <c r="H442" s="169" t="s">
        <v>2173</v>
      </c>
      <c r="I442" s="169" t="s">
        <v>2347</v>
      </c>
      <c r="J442" s="171"/>
    </row>
    <row r="443" spans="1:10" ht="19.5" customHeight="1">
      <c r="A443" s="167" t="s">
        <v>2358</v>
      </c>
      <c r="B443" s="168" t="str">
        <f>RIGHT("a12035121",LEN("a12035121")-1)</f>
        <v>12035121</v>
      </c>
      <c r="C443" s="169" t="s">
        <v>2359</v>
      </c>
      <c r="D443" s="170">
        <v>32400</v>
      </c>
      <c r="E443" s="169" t="s">
        <v>1533</v>
      </c>
      <c r="F443" s="168">
        <f t="shared" si="6"/>
      </c>
      <c r="G443" s="169" t="s">
        <v>1534</v>
      </c>
      <c r="H443" s="169" t="s">
        <v>2173</v>
      </c>
      <c r="I443" s="169" t="s">
        <v>2347</v>
      </c>
      <c r="J443" s="171"/>
    </row>
    <row r="444" spans="1:10" ht="19.5" customHeight="1">
      <c r="A444" s="167" t="s">
        <v>2360</v>
      </c>
      <c r="B444" s="168" t="str">
        <f>RIGHT("a12035122",LEN("a12035122")-1)</f>
        <v>12035122</v>
      </c>
      <c r="C444" s="169" t="s">
        <v>2361</v>
      </c>
      <c r="D444" s="170">
        <v>29865</v>
      </c>
      <c r="E444" s="169" t="s">
        <v>1533</v>
      </c>
      <c r="F444" s="168">
        <f t="shared" si="6"/>
      </c>
      <c r="G444" s="169" t="s">
        <v>1534</v>
      </c>
      <c r="H444" s="169" t="s">
        <v>2173</v>
      </c>
      <c r="I444" s="169" t="s">
        <v>2347</v>
      </c>
      <c r="J444" s="171"/>
    </row>
    <row r="445" spans="1:10" ht="19.5" customHeight="1">
      <c r="A445" s="167" t="s">
        <v>2362</v>
      </c>
      <c r="B445" s="168" t="str">
        <f>RIGHT("a12035123",LEN("a12035123")-1)</f>
        <v>12035123</v>
      </c>
      <c r="C445" s="169" t="s">
        <v>2363</v>
      </c>
      <c r="D445" s="170">
        <v>32696</v>
      </c>
      <c r="E445" s="169" t="s">
        <v>1533</v>
      </c>
      <c r="F445" s="168">
        <f t="shared" si="6"/>
      </c>
      <c r="G445" s="169" t="s">
        <v>1534</v>
      </c>
      <c r="H445" s="169" t="s">
        <v>2173</v>
      </c>
      <c r="I445" s="169" t="s">
        <v>2347</v>
      </c>
      <c r="J445" s="171"/>
    </row>
    <row r="446" spans="1:10" ht="19.5" customHeight="1">
      <c r="A446" s="167" t="s">
        <v>2364</v>
      </c>
      <c r="B446" s="168" t="str">
        <f>RIGHT("a12035439",LEN("a12035439")-1)</f>
        <v>12035439</v>
      </c>
      <c r="C446" s="169" t="s">
        <v>1483</v>
      </c>
      <c r="D446" s="170">
        <v>32927</v>
      </c>
      <c r="E446" s="169" t="s">
        <v>95</v>
      </c>
      <c r="F446" s="168">
        <f t="shared" si="6"/>
      </c>
      <c r="G446" s="169" t="s">
        <v>1534</v>
      </c>
      <c r="H446" s="169" t="s">
        <v>2173</v>
      </c>
      <c r="I446" s="169" t="s">
        <v>2347</v>
      </c>
      <c r="J446" s="171"/>
    </row>
    <row r="447" spans="1:10" ht="19.5" customHeight="1">
      <c r="A447" s="167" t="s">
        <v>2365</v>
      </c>
      <c r="B447" s="168" t="str">
        <f>RIGHT("a12035124",LEN("a12035124")-1)</f>
        <v>12035124</v>
      </c>
      <c r="C447" s="169" t="s">
        <v>2366</v>
      </c>
      <c r="D447" s="170">
        <v>32333</v>
      </c>
      <c r="E447" s="169" t="s">
        <v>1533</v>
      </c>
      <c r="F447" s="168">
        <f t="shared" si="6"/>
      </c>
      <c r="G447" s="169" t="s">
        <v>1534</v>
      </c>
      <c r="H447" s="169" t="s">
        <v>2173</v>
      </c>
      <c r="I447" s="169" t="s">
        <v>2347</v>
      </c>
      <c r="J447" s="171"/>
    </row>
    <row r="448" spans="1:10" ht="19.5" customHeight="1">
      <c r="A448" s="167" t="s">
        <v>2367</v>
      </c>
      <c r="B448" s="168" t="str">
        <f>RIGHT("a12035125",LEN("a12035125")-1)</f>
        <v>12035125</v>
      </c>
      <c r="C448" s="169" t="s">
        <v>2368</v>
      </c>
      <c r="D448" s="170">
        <v>32299</v>
      </c>
      <c r="E448" s="169" t="s">
        <v>1533</v>
      </c>
      <c r="F448" s="168">
        <f t="shared" si="6"/>
      </c>
      <c r="G448" s="169" t="s">
        <v>1534</v>
      </c>
      <c r="H448" s="169" t="s">
        <v>2173</v>
      </c>
      <c r="I448" s="169" t="s">
        <v>2347</v>
      </c>
      <c r="J448" s="171"/>
    </row>
    <row r="449" spans="1:10" ht="19.5" customHeight="1">
      <c r="A449" s="167" t="s">
        <v>2369</v>
      </c>
      <c r="B449" s="168" t="str">
        <f>RIGHT("a12035460",LEN("a12035460")-1)</f>
        <v>12035460</v>
      </c>
      <c r="C449" s="169" t="s">
        <v>2370</v>
      </c>
      <c r="D449" s="170">
        <v>32791</v>
      </c>
      <c r="E449" s="169" t="s">
        <v>1533</v>
      </c>
      <c r="F449" s="168">
        <f t="shared" si="6"/>
      </c>
      <c r="G449" s="169" t="s">
        <v>1534</v>
      </c>
      <c r="H449" s="169" t="s">
        <v>2173</v>
      </c>
      <c r="I449" s="169" t="s">
        <v>2347</v>
      </c>
      <c r="J449" s="171"/>
    </row>
    <row r="450" spans="1:10" ht="19.5" customHeight="1">
      <c r="A450" s="167" t="s">
        <v>2371</v>
      </c>
      <c r="B450" s="168" t="str">
        <f>RIGHT("a12035430",LEN("a12035430")-1)</f>
        <v>12035430</v>
      </c>
      <c r="C450" s="169" t="s">
        <v>1683</v>
      </c>
      <c r="D450" s="170">
        <v>32933</v>
      </c>
      <c r="E450" s="169" t="s">
        <v>1533</v>
      </c>
      <c r="F450" s="168">
        <f aca="true" t="shared" si="7" ref="F450:F513">RIGHT("a",LEN("a")-1)</f>
      </c>
      <c r="G450" s="169" t="s">
        <v>1534</v>
      </c>
      <c r="H450" s="169" t="s">
        <v>2173</v>
      </c>
      <c r="I450" s="169" t="s">
        <v>2347</v>
      </c>
      <c r="J450" s="171"/>
    </row>
    <row r="451" spans="1:10" ht="19.5" customHeight="1">
      <c r="A451" s="167" t="s">
        <v>2372</v>
      </c>
      <c r="B451" s="168" t="str">
        <f>RIGHT("a12035126",LEN("a12035126")-1)</f>
        <v>12035126</v>
      </c>
      <c r="C451" s="169" t="s">
        <v>1683</v>
      </c>
      <c r="D451" s="170">
        <v>30965</v>
      </c>
      <c r="E451" s="169" t="s">
        <v>1533</v>
      </c>
      <c r="F451" s="168">
        <f t="shared" si="7"/>
      </c>
      <c r="G451" s="169" t="s">
        <v>1534</v>
      </c>
      <c r="H451" s="169" t="s">
        <v>2173</v>
      </c>
      <c r="I451" s="169" t="s">
        <v>2347</v>
      </c>
      <c r="J451" s="171"/>
    </row>
    <row r="452" spans="1:10" ht="19.5" customHeight="1">
      <c r="A452" s="167" t="s">
        <v>2373</v>
      </c>
      <c r="B452" s="168" t="str">
        <f>RIGHT("a12035127",LEN("a12035127")-1)</f>
        <v>12035127</v>
      </c>
      <c r="C452" s="169" t="s">
        <v>2374</v>
      </c>
      <c r="D452" s="170">
        <v>32770</v>
      </c>
      <c r="E452" s="169" t="s">
        <v>1533</v>
      </c>
      <c r="F452" s="168">
        <f t="shared" si="7"/>
      </c>
      <c r="G452" s="169" t="s">
        <v>1534</v>
      </c>
      <c r="H452" s="169" t="s">
        <v>2173</v>
      </c>
      <c r="I452" s="169" t="s">
        <v>2347</v>
      </c>
      <c r="J452" s="171"/>
    </row>
    <row r="453" spans="1:10" ht="19.5" customHeight="1">
      <c r="A453" s="167" t="s">
        <v>2375</v>
      </c>
      <c r="B453" s="168" t="str">
        <f>RIGHT("a12035128",LEN("a12035128")-1)</f>
        <v>12035128</v>
      </c>
      <c r="C453" s="169" t="s">
        <v>2376</v>
      </c>
      <c r="D453" s="170">
        <v>32749</v>
      </c>
      <c r="E453" s="169" t="s">
        <v>95</v>
      </c>
      <c r="F453" s="168">
        <f t="shared" si="7"/>
      </c>
      <c r="G453" s="169" t="s">
        <v>1534</v>
      </c>
      <c r="H453" s="169" t="s">
        <v>2173</v>
      </c>
      <c r="I453" s="169" t="s">
        <v>2347</v>
      </c>
      <c r="J453" s="171"/>
    </row>
    <row r="454" spans="1:10" ht="19.5" customHeight="1">
      <c r="A454" s="167" t="s">
        <v>2377</v>
      </c>
      <c r="B454" s="168" t="str">
        <f>RIGHT("a12035129",LEN("a12035129")-1)</f>
        <v>12035129</v>
      </c>
      <c r="C454" s="169" t="s">
        <v>2378</v>
      </c>
      <c r="D454" s="170">
        <v>31851</v>
      </c>
      <c r="E454" s="169" t="s">
        <v>1533</v>
      </c>
      <c r="F454" s="168">
        <f t="shared" si="7"/>
      </c>
      <c r="G454" s="169" t="s">
        <v>1534</v>
      </c>
      <c r="H454" s="169" t="s">
        <v>2173</v>
      </c>
      <c r="I454" s="169" t="s">
        <v>2347</v>
      </c>
      <c r="J454" s="171"/>
    </row>
    <row r="455" spans="1:10" ht="19.5" customHeight="1">
      <c r="A455" s="167" t="s">
        <v>2379</v>
      </c>
      <c r="B455" s="168" t="str">
        <f>RIGHT("a12035446",LEN("a12035446")-1)</f>
        <v>12035446</v>
      </c>
      <c r="C455" s="169" t="s">
        <v>2380</v>
      </c>
      <c r="D455" s="170">
        <v>31523</v>
      </c>
      <c r="E455" s="169" t="s">
        <v>95</v>
      </c>
      <c r="F455" s="168">
        <f t="shared" si="7"/>
      </c>
      <c r="G455" s="169" t="s">
        <v>1534</v>
      </c>
      <c r="H455" s="169" t="s">
        <v>2173</v>
      </c>
      <c r="I455" s="169" t="s">
        <v>2347</v>
      </c>
      <c r="J455" s="171"/>
    </row>
    <row r="456" spans="1:10" ht="19.5" customHeight="1">
      <c r="A456" s="167" t="s">
        <v>2381</v>
      </c>
      <c r="B456" s="168" t="str">
        <f>RIGHT("a12035434",LEN("a12035434")-1)</f>
        <v>12035434</v>
      </c>
      <c r="C456" s="169" t="s">
        <v>2382</v>
      </c>
      <c r="D456" s="170">
        <v>32603</v>
      </c>
      <c r="E456" s="169" t="s">
        <v>1533</v>
      </c>
      <c r="F456" s="168">
        <f t="shared" si="7"/>
      </c>
      <c r="G456" s="169" t="s">
        <v>1534</v>
      </c>
      <c r="H456" s="169" t="s">
        <v>2173</v>
      </c>
      <c r="I456" s="169" t="s">
        <v>2347</v>
      </c>
      <c r="J456" s="171"/>
    </row>
    <row r="457" spans="1:10" ht="19.5" customHeight="1">
      <c r="A457" s="167" t="s">
        <v>2383</v>
      </c>
      <c r="B457" s="168" t="str">
        <f>RIGHT("a12035454",LEN("a12035454")-1)</f>
        <v>12035454</v>
      </c>
      <c r="C457" s="169" t="s">
        <v>2384</v>
      </c>
      <c r="D457" s="170">
        <v>32380</v>
      </c>
      <c r="E457" s="169" t="s">
        <v>1533</v>
      </c>
      <c r="F457" s="168">
        <f t="shared" si="7"/>
      </c>
      <c r="G457" s="169" t="s">
        <v>1534</v>
      </c>
      <c r="H457" s="169" t="s">
        <v>2173</v>
      </c>
      <c r="I457" s="169" t="s">
        <v>2347</v>
      </c>
      <c r="J457" s="171"/>
    </row>
    <row r="458" spans="1:10" ht="19.5" customHeight="1">
      <c r="A458" s="167" t="s">
        <v>2385</v>
      </c>
      <c r="B458" s="168" t="str">
        <f>RIGHT("a12035130",LEN("a12035130")-1)</f>
        <v>12035130</v>
      </c>
      <c r="C458" s="169" t="s">
        <v>2176</v>
      </c>
      <c r="D458" s="170">
        <v>31844</v>
      </c>
      <c r="E458" s="169" t="s">
        <v>1533</v>
      </c>
      <c r="F458" s="168">
        <f t="shared" si="7"/>
      </c>
      <c r="G458" s="169" t="s">
        <v>1534</v>
      </c>
      <c r="H458" s="169" t="s">
        <v>2173</v>
      </c>
      <c r="I458" s="169" t="s">
        <v>2347</v>
      </c>
      <c r="J458" s="171"/>
    </row>
    <row r="459" spans="1:10" ht="19.5" customHeight="1">
      <c r="A459" s="167" t="s">
        <v>2386</v>
      </c>
      <c r="B459" s="168" t="str">
        <f>RIGHT("a12035453",LEN("a12035453")-1)</f>
        <v>12035453</v>
      </c>
      <c r="C459" s="169" t="s">
        <v>2387</v>
      </c>
      <c r="D459" s="170">
        <v>32932</v>
      </c>
      <c r="E459" s="169" t="s">
        <v>1533</v>
      </c>
      <c r="F459" s="168">
        <f t="shared" si="7"/>
      </c>
      <c r="G459" s="169" t="s">
        <v>1534</v>
      </c>
      <c r="H459" s="169" t="s">
        <v>2173</v>
      </c>
      <c r="I459" s="169" t="s">
        <v>2347</v>
      </c>
      <c r="J459" s="171"/>
    </row>
    <row r="460" spans="1:10" ht="19.5" customHeight="1">
      <c r="A460" s="167" t="s">
        <v>2388</v>
      </c>
      <c r="B460" s="168" t="str">
        <f>RIGHT("a12035445",LEN("a12035445")-1)</f>
        <v>12035445</v>
      </c>
      <c r="C460" s="169" t="s">
        <v>2389</v>
      </c>
      <c r="D460" s="170">
        <v>33108</v>
      </c>
      <c r="E460" s="169" t="s">
        <v>1533</v>
      </c>
      <c r="F460" s="168">
        <f t="shared" si="7"/>
      </c>
      <c r="G460" s="169" t="s">
        <v>1534</v>
      </c>
      <c r="H460" s="169" t="s">
        <v>2173</v>
      </c>
      <c r="I460" s="169" t="s">
        <v>2347</v>
      </c>
      <c r="J460" s="171"/>
    </row>
    <row r="461" spans="1:10" ht="19.5" customHeight="1">
      <c r="A461" s="167" t="s">
        <v>2390</v>
      </c>
      <c r="B461" s="168" t="str">
        <f>RIGHT("a12035452",LEN("a12035452")-1)</f>
        <v>12035452</v>
      </c>
      <c r="C461" s="169" t="s">
        <v>266</v>
      </c>
      <c r="D461" s="170">
        <v>32782</v>
      </c>
      <c r="E461" s="169" t="s">
        <v>1533</v>
      </c>
      <c r="F461" s="168">
        <f t="shared" si="7"/>
      </c>
      <c r="G461" s="169" t="s">
        <v>1534</v>
      </c>
      <c r="H461" s="169" t="s">
        <v>2173</v>
      </c>
      <c r="I461" s="169" t="s">
        <v>2347</v>
      </c>
      <c r="J461" s="171"/>
    </row>
    <row r="462" spans="1:10" ht="19.5" customHeight="1">
      <c r="A462" s="167" t="s">
        <v>2391</v>
      </c>
      <c r="B462" s="168" t="str">
        <f>RIGHT("a12035131",LEN("a12035131")-1)</f>
        <v>12035131</v>
      </c>
      <c r="C462" s="169" t="s">
        <v>2392</v>
      </c>
      <c r="D462" s="170">
        <v>32867</v>
      </c>
      <c r="E462" s="169" t="s">
        <v>1533</v>
      </c>
      <c r="F462" s="168">
        <f t="shared" si="7"/>
      </c>
      <c r="G462" s="169" t="s">
        <v>1534</v>
      </c>
      <c r="H462" s="169" t="s">
        <v>2173</v>
      </c>
      <c r="I462" s="169" t="s">
        <v>2347</v>
      </c>
      <c r="J462" s="171"/>
    </row>
    <row r="463" spans="1:10" ht="19.5" customHeight="1">
      <c r="A463" s="167" t="s">
        <v>2393</v>
      </c>
      <c r="B463" s="168" t="str">
        <f>RIGHT("a12035458",LEN("a12035458")-1)</f>
        <v>12035458</v>
      </c>
      <c r="C463" s="169" t="s">
        <v>2394</v>
      </c>
      <c r="D463" s="170">
        <v>32967</v>
      </c>
      <c r="E463" s="169" t="s">
        <v>1533</v>
      </c>
      <c r="F463" s="168">
        <f t="shared" si="7"/>
      </c>
      <c r="G463" s="169" t="s">
        <v>1534</v>
      </c>
      <c r="H463" s="169" t="s">
        <v>2173</v>
      </c>
      <c r="I463" s="169" t="s">
        <v>2347</v>
      </c>
      <c r="J463" s="171"/>
    </row>
    <row r="464" spans="1:10" ht="19.5" customHeight="1">
      <c r="A464" s="167" t="s">
        <v>2395</v>
      </c>
      <c r="B464" s="168" t="str">
        <f>RIGHT("a12035132",LEN("a12035132")-1)</f>
        <v>12035132</v>
      </c>
      <c r="C464" s="169" t="s">
        <v>2396</v>
      </c>
      <c r="D464" s="170">
        <v>31889</v>
      </c>
      <c r="E464" s="169" t="s">
        <v>1533</v>
      </c>
      <c r="F464" s="168">
        <f t="shared" si="7"/>
      </c>
      <c r="G464" s="169" t="s">
        <v>1534</v>
      </c>
      <c r="H464" s="169" t="s">
        <v>2173</v>
      </c>
      <c r="I464" s="169" t="s">
        <v>2347</v>
      </c>
      <c r="J464" s="171"/>
    </row>
    <row r="465" spans="1:10" ht="19.5" customHeight="1">
      <c r="A465" s="167" t="s">
        <v>2397</v>
      </c>
      <c r="B465" s="168" t="str">
        <f>RIGHT("a12035133",LEN("a12035133")-1)</f>
        <v>12035133</v>
      </c>
      <c r="C465" s="169" t="s">
        <v>1624</v>
      </c>
      <c r="D465" s="170">
        <v>32709</v>
      </c>
      <c r="E465" s="169" t="s">
        <v>1533</v>
      </c>
      <c r="F465" s="168">
        <f t="shared" si="7"/>
      </c>
      <c r="G465" s="169" t="s">
        <v>1534</v>
      </c>
      <c r="H465" s="169" t="s">
        <v>2173</v>
      </c>
      <c r="I465" s="169" t="s">
        <v>2347</v>
      </c>
      <c r="J465" s="171"/>
    </row>
    <row r="466" spans="1:10" ht="19.5" customHeight="1">
      <c r="A466" s="167" t="s">
        <v>2398</v>
      </c>
      <c r="B466" s="168" t="str">
        <f>RIGHT("a12035440",LEN("a12035440")-1)</f>
        <v>12035440</v>
      </c>
      <c r="C466" s="169" t="s">
        <v>2399</v>
      </c>
      <c r="D466" s="170">
        <v>33066</v>
      </c>
      <c r="E466" s="169" t="s">
        <v>1533</v>
      </c>
      <c r="F466" s="168">
        <f t="shared" si="7"/>
      </c>
      <c r="G466" s="169" t="s">
        <v>1534</v>
      </c>
      <c r="H466" s="169" t="s">
        <v>2173</v>
      </c>
      <c r="I466" s="169" t="s">
        <v>2347</v>
      </c>
      <c r="J466" s="171"/>
    </row>
    <row r="467" spans="1:10" ht="19.5" customHeight="1">
      <c r="A467" s="167" t="s">
        <v>2400</v>
      </c>
      <c r="B467" s="168" t="str">
        <f>RIGHT("a12035435",LEN("a12035435")-1)</f>
        <v>12035435</v>
      </c>
      <c r="C467" s="169" t="s">
        <v>2401</v>
      </c>
      <c r="D467" s="170">
        <v>32611</v>
      </c>
      <c r="E467" s="169" t="s">
        <v>1533</v>
      </c>
      <c r="F467" s="168">
        <f t="shared" si="7"/>
      </c>
      <c r="G467" s="169" t="s">
        <v>1534</v>
      </c>
      <c r="H467" s="169" t="s">
        <v>2173</v>
      </c>
      <c r="I467" s="169" t="s">
        <v>2347</v>
      </c>
      <c r="J467" s="171"/>
    </row>
    <row r="468" spans="1:10" ht="19.5" customHeight="1">
      <c r="A468" s="167" t="s">
        <v>2402</v>
      </c>
      <c r="B468" s="168" t="str">
        <f>RIGHT("a12035134",LEN("a12035134")-1)</f>
        <v>12035134</v>
      </c>
      <c r="C468" s="169" t="s">
        <v>2403</v>
      </c>
      <c r="D468" s="170">
        <v>32363</v>
      </c>
      <c r="E468" s="169" t="s">
        <v>95</v>
      </c>
      <c r="F468" s="168">
        <f t="shared" si="7"/>
      </c>
      <c r="G468" s="169" t="s">
        <v>1534</v>
      </c>
      <c r="H468" s="169" t="s">
        <v>2173</v>
      </c>
      <c r="I468" s="169" t="s">
        <v>2347</v>
      </c>
      <c r="J468" s="171"/>
    </row>
    <row r="469" spans="1:10" ht="19.5" customHeight="1">
      <c r="A469" s="167" t="s">
        <v>2404</v>
      </c>
      <c r="B469" s="168" t="str">
        <f>RIGHT("a12035135",LEN("a12035135")-1)</f>
        <v>12035135</v>
      </c>
      <c r="C469" s="169" t="s">
        <v>2405</v>
      </c>
      <c r="D469" s="170">
        <v>30421</v>
      </c>
      <c r="E469" s="169" t="s">
        <v>1533</v>
      </c>
      <c r="F469" s="168">
        <f t="shared" si="7"/>
      </c>
      <c r="G469" s="169" t="s">
        <v>1534</v>
      </c>
      <c r="H469" s="169" t="s">
        <v>2173</v>
      </c>
      <c r="I469" s="169" t="s">
        <v>2347</v>
      </c>
      <c r="J469" s="171"/>
    </row>
    <row r="470" spans="1:10" ht="19.5" customHeight="1">
      <c r="A470" s="167" t="s">
        <v>2406</v>
      </c>
      <c r="B470" s="168" t="str">
        <f>RIGHT("a12035459",LEN("a12035459")-1)</f>
        <v>12035459</v>
      </c>
      <c r="C470" s="169" t="s">
        <v>2407</v>
      </c>
      <c r="D470" s="170">
        <v>33172</v>
      </c>
      <c r="E470" s="169" t="s">
        <v>1533</v>
      </c>
      <c r="F470" s="168">
        <f t="shared" si="7"/>
      </c>
      <c r="G470" s="169" t="s">
        <v>1534</v>
      </c>
      <c r="H470" s="169" t="s">
        <v>2173</v>
      </c>
      <c r="I470" s="169" t="s">
        <v>2347</v>
      </c>
      <c r="J470" s="171"/>
    </row>
    <row r="471" spans="1:10" ht="19.5" customHeight="1">
      <c r="A471" s="167" t="s">
        <v>2408</v>
      </c>
      <c r="B471" s="168" t="str">
        <f>RIGHT("a12035455",LEN("a12035455")-1)</f>
        <v>12035455</v>
      </c>
      <c r="C471" s="169" t="s">
        <v>269</v>
      </c>
      <c r="D471" s="170">
        <v>32851</v>
      </c>
      <c r="E471" s="169" t="s">
        <v>1533</v>
      </c>
      <c r="F471" s="168">
        <f t="shared" si="7"/>
      </c>
      <c r="G471" s="169" t="s">
        <v>1534</v>
      </c>
      <c r="H471" s="169" t="s">
        <v>2173</v>
      </c>
      <c r="I471" s="169" t="s">
        <v>2347</v>
      </c>
      <c r="J471" s="171"/>
    </row>
    <row r="472" spans="1:10" ht="19.5" customHeight="1">
      <c r="A472" s="167" t="s">
        <v>2409</v>
      </c>
      <c r="B472" s="168" t="str">
        <f>RIGHT("a12035441",LEN("a12035441")-1)</f>
        <v>12035441</v>
      </c>
      <c r="C472" s="169" t="s">
        <v>2410</v>
      </c>
      <c r="D472" s="170">
        <v>31087</v>
      </c>
      <c r="E472" s="169" t="s">
        <v>95</v>
      </c>
      <c r="F472" s="168">
        <f t="shared" si="7"/>
      </c>
      <c r="G472" s="169" t="s">
        <v>1534</v>
      </c>
      <c r="H472" s="169" t="s">
        <v>2173</v>
      </c>
      <c r="I472" s="169" t="s">
        <v>2347</v>
      </c>
      <c r="J472" s="171"/>
    </row>
    <row r="473" spans="1:10" ht="19.5" customHeight="1">
      <c r="A473" s="167" t="s">
        <v>2411</v>
      </c>
      <c r="B473" s="168" t="str">
        <f>RIGHT("a12035456",LEN("a12035456")-1)</f>
        <v>12035456</v>
      </c>
      <c r="C473" s="169" t="s">
        <v>1699</v>
      </c>
      <c r="D473" s="170">
        <v>32771</v>
      </c>
      <c r="E473" s="169" t="s">
        <v>1533</v>
      </c>
      <c r="F473" s="168">
        <f t="shared" si="7"/>
      </c>
      <c r="G473" s="169" t="s">
        <v>1534</v>
      </c>
      <c r="H473" s="169" t="s">
        <v>2173</v>
      </c>
      <c r="I473" s="169" t="s">
        <v>2347</v>
      </c>
      <c r="J473" s="171"/>
    </row>
    <row r="474" spans="1:10" ht="19.5" customHeight="1">
      <c r="A474" s="167" t="s">
        <v>2412</v>
      </c>
      <c r="B474" s="168" t="str">
        <f>RIGHT("a12035136",LEN("a12035136")-1)</f>
        <v>12035136</v>
      </c>
      <c r="C474" s="169" t="s">
        <v>2413</v>
      </c>
      <c r="D474" s="170">
        <v>32282</v>
      </c>
      <c r="E474" s="169" t="s">
        <v>1533</v>
      </c>
      <c r="F474" s="168">
        <f t="shared" si="7"/>
      </c>
      <c r="G474" s="169" t="s">
        <v>1534</v>
      </c>
      <c r="H474" s="169" t="s">
        <v>2173</v>
      </c>
      <c r="I474" s="169" t="s">
        <v>2347</v>
      </c>
      <c r="J474" s="171"/>
    </row>
    <row r="475" spans="1:10" ht="19.5" customHeight="1">
      <c r="A475" s="167" t="s">
        <v>2414</v>
      </c>
      <c r="B475" s="168" t="str">
        <f>RIGHT("a12035137",LEN("a12035137")-1)</f>
        <v>12035137</v>
      </c>
      <c r="C475" s="169" t="s">
        <v>2415</v>
      </c>
      <c r="D475" s="170">
        <v>30828</v>
      </c>
      <c r="E475" s="169" t="s">
        <v>1533</v>
      </c>
      <c r="F475" s="168">
        <f t="shared" si="7"/>
      </c>
      <c r="G475" s="169" t="s">
        <v>1534</v>
      </c>
      <c r="H475" s="169" t="s">
        <v>2173</v>
      </c>
      <c r="I475" s="169" t="s">
        <v>2347</v>
      </c>
      <c r="J475" s="171"/>
    </row>
    <row r="476" spans="1:10" ht="19.5" customHeight="1">
      <c r="A476" s="167" t="s">
        <v>2416</v>
      </c>
      <c r="B476" s="168" t="str">
        <f>RIGHT("a12035448",LEN("a12035448")-1)</f>
        <v>12035448</v>
      </c>
      <c r="C476" s="169" t="s">
        <v>2417</v>
      </c>
      <c r="D476" s="170">
        <v>32969</v>
      </c>
      <c r="E476" s="169" t="s">
        <v>1533</v>
      </c>
      <c r="F476" s="168">
        <f t="shared" si="7"/>
      </c>
      <c r="G476" s="169" t="s">
        <v>1534</v>
      </c>
      <c r="H476" s="169" t="s">
        <v>2173</v>
      </c>
      <c r="I476" s="169" t="s">
        <v>2347</v>
      </c>
      <c r="J476" s="171"/>
    </row>
    <row r="477" spans="1:10" ht="19.5" customHeight="1">
      <c r="A477" s="167" t="s">
        <v>2418</v>
      </c>
      <c r="B477" s="168" t="str">
        <f>RIGHT("a12035138",LEN("a12035138")-1)</f>
        <v>12035138</v>
      </c>
      <c r="C477" s="169" t="s">
        <v>2419</v>
      </c>
      <c r="D477" s="170">
        <v>32516</v>
      </c>
      <c r="E477" s="169" t="s">
        <v>1533</v>
      </c>
      <c r="F477" s="168">
        <f t="shared" si="7"/>
      </c>
      <c r="G477" s="169" t="s">
        <v>1534</v>
      </c>
      <c r="H477" s="169" t="s">
        <v>2173</v>
      </c>
      <c r="I477" s="169" t="s">
        <v>2347</v>
      </c>
      <c r="J477" s="171"/>
    </row>
    <row r="478" spans="1:10" ht="19.5" customHeight="1">
      <c r="A478" s="167" t="s">
        <v>2420</v>
      </c>
      <c r="B478" s="168" t="str">
        <f>RIGHT("a12035140",LEN("a12035140")-1)</f>
        <v>12035140</v>
      </c>
      <c r="C478" s="169" t="s">
        <v>2421</v>
      </c>
      <c r="D478" s="170">
        <v>32518</v>
      </c>
      <c r="E478" s="169" t="s">
        <v>1533</v>
      </c>
      <c r="F478" s="168">
        <f t="shared" si="7"/>
      </c>
      <c r="G478" s="169" t="s">
        <v>1534</v>
      </c>
      <c r="H478" s="169" t="s">
        <v>2173</v>
      </c>
      <c r="I478" s="169" t="s">
        <v>2347</v>
      </c>
      <c r="J478" s="171"/>
    </row>
    <row r="479" spans="1:10" ht="19.5" customHeight="1">
      <c r="A479" s="167" t="s">
        <v>2422</v>
      </c>
      <c r="B479" s="168" t="str">
        <f>RIGHT("a12035139",LEN("a12035139")-1)</f>
        <v>12035139</v>
      </c>
      <c r="C479" s="169" t="s">
        <v>2423</v>
      </c>
      <c r="D479" s="170">
        <v>31851</v>
      </c>
      <c r="E479" s="169" t="s">
        <v>1533</v>
      </c>
      <c r="F479" s="168">
        <f t="shared" si="7"/>
      </c>
      <c r="G479" s="169" t="s">
        <v>1534</v>
      </c>
      <c r="H479" s="169" t="s">
        <v>2173</v>
      </c>
      <c r="I479" s="169" t="s">
        <v>2347</v>
      </c>
      <c r="J479" s="171"/>
    </row>
    <row r="480" spans="1:10" ht="19.5" customHeight="1">
      <c r="A480" s="167" t="s">
        <v>2424</v>
      </c>
      <c r="B480" s="168" t="str">
        <f>RIGHT("a12035141",LEN("a12035141")-1)</f>
        <v>12035141</v>
      </c>
      <c r="C480" s="169" t="s">
        <v>2425</v>
      </c>
      <c r="D480" s="170">
        <v>30930</v>
      </c>
      <c r="E480" s="169" t="s">
        <v>1533</v>
      </c>
      <c r="F480" s="168">
        <f t="shared" si="7"/>
      </c>
      <c r="G480" s="169" t="s">
        <v>1534</v>
      </c>
      <c r="H480" s="169" t="s">
        <v>2173</v>
      </c>
      <c r="I480" s="169" t="s">
        <v>2347</v>
      </c>
      <c r="J480" s="171"/>
    </row>
    <row r="481" spans="1:10" ht="19.5" customHeight="1">
      <c r="A481" s="167" t="s">
        <v>2426</v>
      </c>
      <c r="B481" s="168" t="str">
        <f>RIGHT("a12035142",LEN("a12035142")-1)</f>
        <v>12035142</v>
      </c>
      <c r="C481" s="169" t="s">
        <v>2427</v>
      </c>
      <c r="D481" s="170">
        <v>31216</v>
      </c>
      <c r="E481" s="169" t="s">
        <v>1533</v>
      </c>
      <c r="F481" s="168">
        <f t="shared" si="7"/>
      </c>
      <c r="G481" s="169" t="s">
        <v>1534</v>
      </c>
      <c r="H481" s="169" t="s">
        <v>2173</v>
      </c>
      <c r="I481" s="169" t="s">
        <v>2347</v>
      </c>
      <c r="J481" s="171"/>
    </row>
    <row r="482" spans="1:10" ht="19.5" customHeight="1">
      <c r="A482" s="167" t="s">
        <v>2428</v>
      </c>
      <c r="B482" s="168" t="str">
        <f>RIGHT("a12035437",LEN("a12035437")-1)</f>
        <v>12035437</v>
      </c>
      <c r="C482" s="169" t="s">
        <v>1432</v>
      </c>
      <c r="D482" s="170">
        <v>32695</v>
      </c>
      <c r="E482" s="169" t="s">
        <v>1533</v>
      </c>
      <c r="F482" s="168">
        <f t="shared" si="7"/>
      </c>
      <c r="G482" s="169" t="s">
        <v>1534</v>
      </c>
      <c r="H482" s="169" t="s">
        <v>2173</v>
      </c>
      <c r="I482" s="169" t="s">
        <v>2347</v>
      </c>
      <c r="J482" s="171"/>
    </row>
    <row r="483" spans="1:10" ht="19.5" customHeight="1">
      <c r="A483" s="167" t="s">
        <v>2429</v>
      </c>
      <c r="B483" s="168" t="str">
        <f>RIGHT("a12035442",LEN("a12035442")-1)</f>
        <v>12035442</v>
      </c>
      <c r="C483" s="169" t="s">
        <v>2430</v>
      </c>
      <c r="D483" s="170">
        <v>32774</v>
      </c>
      <c r="E483" s="169" t="s">
        <v>1533</v>
      </c>
      <c r="F483" s="168">
        <f t="shared" si="7"/>
      </c>
      <c r="G483" s="169" t="s">
        <v>1534</v>
      </c>
      <c r="H483" s="169" t="s">
        <v>2173</v>
      </c>
      <c r="I483" s="169" t="s">
        <v>2347</v>
      </c>
      <c r="J483" s="171"/>
    </row>
    <row r="484" spans="1:10" ht="19.5" customHeight="1">
      <c r="A484" s="167" t="s">
        <v>2431</v>
      </c>
      <c r="B484" s="168" t="str">
        <f>RIGHT("a12035449",LEN("a12035449")-1)</f>
        <v>12035449</v>
      </c>
      <c r="C484" s="169" t="s">
        <v>2432</v>
      </c>
      <c r="D484" s="170">
        <v>32136</v>
      </c>
      <c r="E484" s="169" t="s">
        <v>1533</v>
      </c>
      <c r="F484" s="168">
        <f t="shared" si="7"/>
      </c>
      <c r="G484" s="169" t="s">
        <v>1534</v>
      </c>
      <c r="H484" s="169" t="s">
        <v>2173</v>
      </c>
      <c r="I484" s="169" t="s">
        <v>2347</v>
      </c>
      <c r="J484" s="171"/>
    </row>
    <row r="485" spans="1:10" ht="19.5" customHeight="1">
      <c r="A485" s="167" t="s">
        <v>2433</v>
      </c>
      <c r="B485" s="168" t="str">
        <f>RIGHT("a12035447",LEN("a12035447")-1)</f>
        <v>12035447</v>
      </c>
      <c r="C485" s="169" t="s">
        <v>2434</v>
      </c>
      <c r="D485" s="170">
        <v>31822</v>
      </c>
      <c r="E485" s="169" t="s">
        <v>1533</v>
      </c>
      <c r="F485" s="168">
        <f t="shared" si="7"/>
      </c>
      <c r="G485" s="169" t="s">
        <v>1534</v>
      </c>
      <c r="H485" s="169" t="s">
        <v>2173</v>
      </c>
      <c r="I485" s="169" t="s">
        <v>2347</v>
      </c>
      <c r="J485" s="171"/>
    </row>
    <row r="486" spans="1:10" ht="19.5" customHeight="1">
      <c r="A486" s="167" t="s">
        <v>2435</v>
      </c>
      <c r="B486" s="168" t="str">
        <f>RIGHT("a12035428",LEN("a12035428")-1)</f>
        <v>12035428</v>
      </c>
      <c r="C486" s="169" t="s">
        <v>2436</v>
      </c>
      <c r="D486" s="170">
        <v>32830</v>
      </c>
      <c r="E486" s="169" t="s">
        <v>95</v>
      </c>
      <c r="F486" s="168">
        <f t="shared" si="7"/>
      </c>
      <c r="G486" s="169" t="s">
        <v>1534</v>
      </c>
      <c r="H486" s="169" t="s">
        <v>2173</v>
      </c>
      <c r="I486" s="169" t="s">
        <v>2347</v>
      </c>
      <c r="J486" s="171"/>
    </row>
    <row r="487" spans="1:10" ht="19.5" customHeight="1">
      <c r="A487" s="167" t="s">
        <v>2437</v>
      </c>
      <c r="B487" s="168" t="str">
        <f>RIGHT("a12035143",LEN("a12035143")-1)</f>
        <v>12035143</v>
      </c>
      <c r="C487" s="169" t="s">
        <v>2438</v>
      </c>
      <c r="D487" s="170">
        <v>31986</v>
      </c>
      <c r="E487" s="169" t="s">
        <v>95</v>
      </c>
      <c r="F487" s="168">
        <f t="shared" si="7"/>
      </c>
      <c r="G487" s="169" t="s">
        <v>1534</v>
      </c>
      <c r="H487" s="169" t="s">
        <v>2173</v>
      </c>
      <c r="I487" s="169" t="s">
        <v>2347</v>
      </c>
      <c r="J487" s="171"/>
    </row>
    <row r="488" spans="1:10" ht="19.5" customHeight="1">
      <c r="A488" s="167" t="s">
        <v>2439</v>
      </c>
      <c r="B488" s="168" t="str">
        <f>RIGHT("a12035144",LEN("a12035144")-1)</f>
        <v>12035144</v>
      </c>
      <c r="C488" s="169" t="s">
        <v>2440</v>
      </c>
      <c r="D488" s="170">
        <v>32249</v>
      </c>
      <c r="E488" s="169" t="s">
        <v>1533</v>
      </c>
      <c r="F488" s="168">
        <f t="shared" si="7"/>
      </c>
      <c r="G488" s="169" t="s">
        <v>1534</v>
      </c>
      <c r="H488" s="169" t="s">
        <v>2173</v>
      </c>
      <c r="I488" s="169" t="s">
        <v>2347</v>
      </c>
      <c r="J488" s="171"/>
    </row>
    <row r="489" spans="1:10" ht="19.5" customHeight="1">
      <c r="A489" s="167" t="s">
        <v>2441</v>
      </c>
      <c r="B489" s="168" t="str">
        <f>RIGHT("a12035145",LEN("a12035145")-1)</f>
        <v>12035145</v>
      </c>
      <c r="C489" s="169" t="s">
        <v>2442</v>
      </c>
      <c r="D489" s="170">
        <v>32199</v>
      </c>
      <c r="E489" s="169" t="s">
        <v>1533</v>
      </c>
      <c r="F489" s="168">
        <f t="shared" si="7"/>
      </c>
      <c r="G489" s="169" t="s">
        <v>1534</v>
      </c>
      <c r="H489" s="169" t="s">
        <v>2173</v>
      </c>
      <c r="I489" s="169" t="s">
        <v>2347</v>
      </c>
      <c r="J489" s="171"/>
    </row>
    <row r="490" spans="1:10" ht="19.5" customHeight="1">
      <c r="A490" s="167" t="s">
        <v>2443</v>
      </c>
      <c r="B490" s="168" t="str">
        <f>RIGHT("a12035431",LEN("a12035431")-1)</f>
        <v>12035431</v>
      </c>
      <c r="C490" s="169" t="s">
        <v>155</v>
      </c>
      <c r="D490" s="170">
        <v>32560</v>
      </c>
      <c r="E490" s="169" t="s">
        <v>1533</v>
      </c>
      <c r="F490" s="168">
        <f t="shared" si="7"/>
      </c>
      <c r="G490" s="169" t="s">
        <v>1534</v>
      </c>
      <c r="H490" s="169" t="s">
        <v>2173</v>
      </c>
      <c r="I490" s="169" t="s">
        <v>2347</v>
      </c>
      <c r="J490" s="171"/>
    </row>
    <row r="491" spans="1:10" ht="19.5" customHeight="1">
      <c r="A491" s="167" t="s">
        <v>2444</v>
      </c>
      <c r="B491" s="168" t="str">
        <f>RIGHT("a12035147",LEN("a12035147")-1)</f>
        <v>12035147</v>
      </c>
      <c r="C491" s="169" t="s">
        <v>2445</v>
      </c>
      <c r="D491" s="170">
        <v>31805</v>
      </c>
      <c r="E491" s="169" t="s">
        <v>1533</v>
      </c>
      <c r="F491" s="168">
        <f t="shared" si="7"/>
      </c>
      <c r="G491" s="169" t="s">
        <v>1534</v>
      </c>
      <c r="H491" s="169" t="s">
        <v>2173</v>
      </c>
      <c r="I491" s="169" t="s">
        <v>2347</v>
      </c>
      <c r="J491" s="171"/>
    </row>
    <row r="492" spans="1:10" ht="19.5" customHeight="1">
      <c r="A492" s="167" t="s">
        <v>2446</v>
      </c>
      <c r="B492" s="168" t="str">
        <f>RIGHT("a12035438",LEN("a12035438")-1)</f>
        <v>12035438</v>
      </c>
      <c r="C492" s="169" t="s">
        <v>2447</v>
      </c>
      <c r="D492" s="170">
        <v>33019</v>
      </c>
      <c r="E492" s="169" t="s">
        <v>1533</v>
      </c>
      <c r="F492" s="168">
        <f t="shared" si="7"/>
      </c>
      <c r="G492" s="169" t="s">
        <v>1534</v>
      </c>
      <c r="H492" s="169" t="s">
        <v>2173</v>
      </c>
      <c r="I492" s="169" t="s">
        <v>2347</v>
      </c>
      <c r="J492" s="171"/>
    </row>
    <row r="493" spans="1:10" ht="19.5" customHeight="1">
      <c r="A493" s="167" t="s">
        <v>2448</v>
      </c>
      <c r="B493" s="168" t="str">
        <f>RIGHT("a12035146",LEN("a12035146")-1)</f>
        <v>12035146</v>
      </c>
      <c r="C493" s="169" t="s">
        <v>2449</v>
      </c>
      <c r="D493" s="170">
        <v>30055</v>
      </c>
      <c r="E493" s="169" t="s">
        <v>1533</v>
      </c>
      <c r="F493" s="168">
        <f t="shared" si="7"/>
      </c>
      <c r="G493" s="169" t="s">
        <v>1534</v>
      </c>
      <c r="H493" s="169" t="s">
        <v>2173</v>
      </c>
      <c r="I493" s="169" t="s">
        <v>2347</v>
      </c>
      <c r="J493" s="171"/>
    </row>
    <row r="494" spans="1:10" ht="19.5" customHeight="1">
      <c r="A494" s="167" t="s">
        <v>2450</v>
      </c>
      <c r="B494" s="168" t="str">
        <f>RIGHT("a12035450",LEN("a12035450")-1)</f>
        <v>12035450</v>
      </c>
      <c r="C494" s="169" t="s">
        <v>2451</v>
      </c>
      <c r="D494" s="170">
        <v>32887</v>
      </c>
      <c r="E494" s="169" t="s">
        <v>1533</v>
      </c>
      <c r="F494" s="168">
        <f t="shared" si="7"/>
      </c>
      <c r="G494" s="169" t="s">
        <v>1534</v>
      </c>
      <c r="H494" s="169" t="s">
        <v>2173</v>
      </c>
      <c r="I494" s="169" t="s">
        <v>2347</v>
      </c>
      <c r="J494" s="171"/>
    </row>
    <row r="495" spans="1:10" ht="19.5" customHeight="1">
      <c r="A495" s="167" t="s">
        <v>2452</v>
      </c>
      <c r="B495" s="168" t="str">
        <f>RIGHT("a12035436",LEN("a12035436")-1)</f>
        <v>12035436</v>
      </c>
      <c r="C495" s="169" t="s">
        <v>2453</v>
      </c>
      <c r="D495" s="170">
        <v>32862</v>
      </c>
      <c r="E495" s="169" t="s">
        <v>1533</v>
      </c>
      <c r="F495" s="168">
        <f t="shared" si="7"/>
      </c>
      <c r="G495" s="169" t="s">
        <v>1534</v>
      </c>
      <c r="H495" s="169" t="s">
        <v>2173</v>
      </c>
      <c r="I495" s="169" t="s">
        <v>2347</v>
      </c>
      <c r="J495" s="171"/>
    </row>
    <row r="496" spans="1:10" ht="19.5" customHeight="1">
      <c r="A496" s="167" t="s">
        <v>2454</v>
      </c>
      <c r="B496" s="168" t="str">
        <f>RIGHT("a12035148",LEN("a12035148")-1)</f>
        <v>12035148</v>
      </c>
      <c r="C496" s="169" t="s">
        <v>1493</v>
      </c>
      <c r="D496" s="170">
        <v>32536</v>
      </c>
      <c r="E496" s="169" t="s">
        <v>1533</v>
      </c>
      <c r="F496" s="168">
        <f t="shared" si="7"/>
      </c>
      <c r="G496" s="169" t="s">
        <v>1534</v>
      </c>
      <c r="H496" s="169" t="s">
        <v>2173</v>
      </c>
      <c r="I496" s="169" t="s">
        <v>2347</v>
      </c>
      <c r="J496" s="171"/>
    </row>
    <row r="497" spans="1:10" ht="19.5" customHeight="1">
      <c r="A497" s="167" t="s">
        <v>2455</v>
      </c>
      <c r="B497" s="168" t="str">
        <f>RIGHT("a12035432",LEN("a12035432")-1)</f>
        <v>12035432</v>
      </c>
      <c r="C497" s="169" t="s">
        <v>2456</v>
      </c>
      <c r="D497" s="170">
        <v>32606</v>
      </c>
      <c r="E497" s="169" t="s">
        <v>95</v>
      </c>
      <c r="F497" s="168">
        <f t="shared" si="7"/>
      </c>
      <c r="G497" s="169" t="s">
        <v>1534</v>
      </c>
      <c r="H497" s="169" t="s">
        <v>2173</v>
      </c>
      <c r="I497" s="169" t="s">
        <v>2347</v>
      </c>
      <c r="J497" s="171"/>
    </row>
    <row r="498" spans="1:10" ht="19.5" customHeight="1">
      <c r="A498" s="167" t="s">
        <v>2457</v>
      </c>
      <c r="B498" s="168" t="str">
        <f>RIGHT("a12035149",LEN("a12035149")-1)</f>
        <v>12035149</v>
      </c>
      <c r="C498" s="169" t="s">
        <v>2458</v>
      </c>
      <c r="D498" s="170">
        <v>32344</v>
      </c>
      <c r="E498" s="169" t="s">
        <v>1533</v>
      </c>
      <c r="F498" s="168">
        <f t="shared" si="7"/>
      </c>
      <c r="G498" s="169" t="s">
        <v>1534</v>
      </c>
      <c r="H498" s="169" t="s">
        <v>2173</v>
      </c>
      <c r="I498" s="169" t="s">
        <v>2347</v>
      </c>
      <c r="J498" s="171"/>
    </row>
    <row r="499" spans="1:10" ht="19.5" customHeight="1">
      <c r="A499" s="167" t="s">
        <v>2459</v>
      </c>
      <c r="B499" s="168" t="str">
        <f>RIGHT("a12035443",LEN("a12035443")-1)</f>
        <v>12035443</v>
      </c>
      <c r="C499" s="169" t="s">
        <v>1464</v>
      </c>
      <c r="D499" s="170">
        <v>32391</v>
      </c>
      <c r="E499" s="169" t="s">
        <v>1533</v>
      </c>
      <c r="F499" s="168">
        <f t="shared" si="7"/>
      </c>
      <c r="G499" s="169" t="s">
        <v>1534</v>
      </c>
      <c r="H499" s="169" t="s">
        <v>2173</v>
      </c>
      <c r="I499" s="169" t="s">
        <v>2347</v>
      </c>
      <c r="J499" s="171"/>
    </row>
    <row r="500" spans="1:10" ht="19.5" customHeight="1">
      <c r="A500" s="167" t="s">
        <v>2460</v>
      </c>
      <c r="B500" s="168" t="str">
        <f>RIGHT("a12035457",LEN("a12035457")-1)</f>
        <v>12035457</v>
      </c>
      <c r="C500" s="169" t="s">
        <v>2461</v>
      </c>
      <c r="D500" s="170">
        <v>32670</v>
      </c>
      <c r="E500" s="169" t="s">
        <v>1533</v>
      </c>
      <c r="F500" s="168">
        <f t="shared" si="7"/>
      </c>
      <c r="G500" s="169" t="s">
        <v>1534</v>
      </c>
      <c r="H500" s="169" t="s">
        <v>2173</v>
      </c>
      <c r="I500" s="169" t="s">
        <v>2347</v>
      </c>
      <c r="J500" s="171"/>
    </row>
    <row r="501" spans="1:10" ht="19.5" customHeight="1">
      <c r="A501" s="167" t="s">
        <v>2462</v>
      </c>
      <c r="B501" s="168" t="str">
        <f>RIGHT("a12035451",LEN("a12035451")-1)</f>
        <v>12035451</v>
      </c>
      <c r="C501" s="169" t="s">
        <v>2463</v>
      </c>
      <c r="D501" s="170">
        <v>32796</v>
      </c>
      <c r="E501" s="169" t="s">
        <v>1533</v>
      </c>
      <c r="F501" s="168">
        <f t="shared" si="7"/>
      </c>
      <c r="G501" s="169" t="s">
        <v>1534</v>
      </c>
      <c r="H501" s="169" t="s">
        <v>2173</v>
      </c>
      <c r="I501" s="169" t="s">
        <v>2347</v>
      </c>
      <c r="J501" s="171"/>
    </row>
    <row r="502" spans="1:10" ht="19.5" customHeight="1">
      <c r="A502" s="167" t="s">
        <v>2464</v>
      </c>
      <c r="B502" s="168" t="str">
        <f>RIGHT("a12035462",LEN("a12035462")-1)</f>
        <v>12035462</v>
      </c>
      <c r="C502" s="169" t="s">
        <v>2465</v>
      </c>
      <c r="D502" s="170">
        <v>30832</v>
      </c>
      <c r="E502" s="169" t="s">
        <v>95</v>
      </c>
      <c r="F502" s="168">
        <f t="shared" si="7"/>
      </c>
      <c r="G502" s="169" t="s">
        <v>1534</v>
      </c>
      <c r="H502" s="169" t="s">
        <v>2173</v>
      </c>
      <c r="I502" s="169" t="s">
        <v>2466</v>
      </c>
      <c r="J502" s="171"/>
    </row>
    <row r="503" spans="1:10" ht="19.5" customHeight="1">
      <c r="A503" s="167" t="s">
        <v>2467</v>
      </c>
      <c r="B503" s="168" t="str">
        <f>RIGHT("a12035468",LEN("a12035468")-1)</f>
        <v>12035468</v>
      </c>
      <c r="C503" s="169" t="s">
        <v>2468</v>
      </c>
      <c r="D503" s="170">
        <v>33084</v>
      </c>
      <c r="E503" s="169" t="s">
        <v>1533</v>
      </c>
      <c r="F503" s="168">
        <f t="shared" si="7"/>
      </c>
      <c r="G503" s="169" t="s">
        <v>1534</v>
      </c>
      <c r="H503" s="169" t="s">
        <v>2173</v>
      </c>
      <c r="I503" s="169" t="s">
        <v>2466</v>
      </c>
      <c r="J503" s="171"/>
    </row>
    <row r="504" spans="1:10" ht="19.5" customHeight="1">
      <c r="A504" s="167" t="s">
        <v>2469</v>
      </c>
      <c r="B504" s="168" t="str">
        <f>RIGHT("a12035463",LEN("a12035463")-1)</f>
        <v>12035463</v>
      </c>
      <c r="C504" s="169" t="s">
        <v>2470</v>
      </c>
      <c r="D504" s="170">
        <v>32918</v>
      </c>
      <c r="E504" s="169" t="s">
        <v>1533</v>
      </c>
      <c r="F504" s="168">
        <f t="shared" si="7"/>
      </c>
      <c r="G504" s="169" t="s">
        <v>1534</v>
      </c>
      <c r="H504" s="169" t="s">
        <v>2173</v>
      </c>
      <c r="I504" s="169" t="s">
        <v>2466</v>
      </c>
      <c r="J504" s="171"/>
    </row>
    <row r="505" spans="1:10" ht="19.5" customHeight="1">
      <c r="A505" s="167" t="s">
        <v>2471</v>
      </c>
      <c r="B505" s="168" t="str">
        <f>RIGHT("a12035466",LEN("a12035466")-1)</f>
        <v>12035466</v>
      </c>
      <c r="C505" s="169" t="s">
        <v>2472</v>
      </c>
      <c r="D505" s="170">
        <v>32708</v>
      </c>
      <c r="E505" s="169" t="s">
        <v>1533</v>
      </c>
      <c r="F505" s="168">
        <f t="shared" si="7"/>
      </c>
      <c r="G505" s="169" t="s">
        <v>1534</v>
      </c>
      <c r="H505" s="169" t="s">
        <v>2173</v>
      </c>
      <c r="I505" s="169" t="s">
        <v>2466</v>
      </c>
      <c r="J505" s="171"/>
    </row>
    <row r="506" spans="1:10" ht="19.5" customHeight="1">
      <c r="A506" s="167" t="s">
        <v>2473</v>
      </c>
      <c r="B506" s="168" t="str">
        <f>RIGHT("a12035464",LEN("a12035464")-1)</f>
        <v>12035464</v>
      </c>
      <c r="C506" s="169" t="s">
        <v>1428</v>
      </c>
      <c r="D506" s="170">
        <v>33166</v>
      </c>
      <c r="E506" s="169" t="s">
        <v>1533</v>
      </c>
      <c r="F506" s="168">
        <f t="shared" si="7"/>
      </c>
      <c r="G506" s="169" t="s">
        <v>1534</v>
      </c>
      <c r="H506" s="169" t="s">
        <v>2173</v>
      </c>
      <c r="I506" s="169" t="s">
        <v>2466</v>
      </c>
      <c r="J506" s="171"/>
    </row>
    <row r="507" spans="1:10" ht="19.5" customHeight="1">
      <c r="A507" s="167" t="s">
        <v>2474</v>
      </c>
      <c r="B507" s="168" t="str">
        <f>RIGHT("a12035469",LEN("a12035469")-1)</f>
        <v>12035469</v>
      </c>
      <c r="C507" s="169" t="s">
        <v>1606</v>
      </c>
      <c r="D507" s="170">
        <v>33229</v>
      </c>
      <c r="E507" s="169" t="s">
        <v>1533</v>
      </c>
      <c r="F507" s="168">
        <f t="shared" si="7"/>
      </c>
      <c r="G507" s="169" t="s">
        <v>1534</v>
      </c>
      <c r="H507" s="169" t="s">
        <v>2173</v>
      </c>
      <c r="I507" s="169" t="s">
        <v>2466</v>
      </c>
      <c r="J507" s="171"/>
    </row>
    <row r="508" spans="1:10" ht="19.5" customHeight="1">
      <c r="A508" s="167" t="s">
        <v>2475</v>
      </c>
      <c r="B508" s="168" t="str">
        <f>RIGHT("a12035465",LEN("a12035465")-1)</f>
        <v>12035465</v>
      </c>
      <c r="C508" s="169" t="s">
        <v>2476</v>
      </c>
      <c r="D508" s="170">
        <v>32650</v>
      </c>
      <c r="E508" s="169" t="s">
        <v>1533</v>
      </c>
      <c r="F508" s="168">
        <f t="shared" si="7"/>
      </c>
      <c r="G508" s="169" t="s">
        <v>1534</v>
      </c>
      <c r="H508" s="169" t="s">
        <v>2173</v>
      </c>
      <c r="I508" s="169" t="s">
        <v>2466</v>
      </c>
      <c r="J508" s="171"/>
    </row>
    <row r="509" spans="1:10" ht="19.5" customHeight="1">
      <c r="A509" s="167" t="s">
        <v>2477</v>
      </c>
      <c r="B509" s="168" t="str">
        <f>RIGHT("a12035150",LEN("a12035150")-1)</f>
        <v>12035150</v>
      </c>
      <c r="C509" s="169" t="s">
        <v>2478</v>
      </c>
      <c r="D509" s="170">
        <v>31886</v>
      </c>
      <c r="E509" s="169" t="s">
        <v>1533</v>
      </c>
      <c r="F509" s="168">
        <f t="shared" si="7"/>
      </c>
      <c r="G509" s="169" t="s">
        <v>1534</v>
      </c>
      <c r="H509" s="169" t="s">
        <v>2173</v>
      </c>
      <c r="I509" s="169" t="s">
        <v>2466</v>
      </c>
      <c r="J509" s="171"/>
    </row>
    <row r="510" spans="1:10" ht="19.5" customHeight="1">
      <c r="A510" s="167" t="s">
        <v>2479</v>
      </c>
      <c r="B510" s="168" t="str">
        <f>RIGHT("a12035461",LEN("a12035461")-1)</f>
        <v>12035461</v>
      </c>
      <c r="C510" s="169" t="s">
        <v>2480</v>
      </c>
      <c r="D510" s="170">
        <v>33166</v>
      </c>
      <c r="E510" s="169" t="s">
        <v>1533</v>
      </c>
      <c r="F510" s="168">
        <f t="shared" si="7"/>
      </c>
      <c r="G510" s="169" t="s">
        <v>1534</v>
      </c>
      <c r="H510" s="169" t="s">
        <v>2173</v>
      </c>
      <c r="I510" s="169" t="s">
        <v>2466</v>
      </c>
      <c r="J510" s="171"/>
    </row>
    <row r="511" spans="1:10" ht="19.5" customHeight="1">
      <c r="A511" s="167" t="s">
        <v>2481</v>
      </c>
      <c r="B511" s="168" t="str">
        <f>RIGHT("a12035467",LEN("a12035467")-1)</f>
        <v>12035467</v>
      </c>
      <c r="C511" s="169" t="s">
        <v>2482</v>
      </c>
      <c r="D511" s="170">
        <v>31598</v>
      </c>
      <c r="E511" s="169" t="s">
        <v>1533</v>
      </c>
      <c r="F511" s="168">
        <f t="shared" si="7"/>
      </c>
      <c r="G511" s="169" t="s">
        <v>1534</v>
      </c>
      <c r="H511" s="169" t="s">
        <v>2173</v>
      </c>
      <c r="I511" s="169" t="s">
        <v>2466</v>
      </c>
      <c r="J511" s="171"/>
    </row>
    <row r="512" spans="1:10" ht="19.5" customHeight="1">
      <c r="A512" s="167" t="s">
        <v>2483</v>
      </c>
      <c r="B512" s="168" t="str">
        <f>RIGHT("a12035470",LEN("a12035470")-1)</f>
        <v>12035470</v>
      </c>
      <c r="C512" s="169" t="s">
        <v>2484</v>
      </c>
      <c r="D512" s="170">
        <v>33031</v>
      </c>
      <c r="E512" s="169" t="s">
        <v>1533</v>
      </c>
      <c r="F512" s="168">
        <f t="shared" si="7"/>
      </c>
      <c r="G512" s="169" t="s">
        <v>1534</v>
      </c>
      <c r="H512" s="169" t="s">
        <v>2173</v>
      </c>
      <c r="I512" s="169" t="s">
        <v>2485</v>
      </c>
      <c r="J512" s="171"/>
    </row>
    <row r="513" spans="1:10" ht="19.5" customHeight="1">
      <c r="A513" s="167" t="s">
        <v>2486</v>
      </c>
      <c r="B513" s="168" t="str">
        <f>RIGHT("a12035471",LEN("a12035471")-1)</f>
        <v>12035471</v>
      </c>
      <c r="C513" s="169" t="s">
        <v>2487</v>
      </c>
      <c r="D513" s="170">
        <v>33022</v>
      </c>
      <c r="E513" s="169" t="s">
        <v>95</v>
      </c>
      <c r="F513" s="168">
        <f t="shared" si="7"/>
      </c>
      <c r="G513" s="169" t="s">
        <v>1534</v>
      </c>
      <c r="H513" s="169" t="s">
        <v>2173</v>
      </c>
      <c r="I513" s="169" t="s">
        <v>2485</v>
      </c>
      <c r="J513" s="171"/>
    </row>
    <row r="514" spans="1:10" ht="19.5" customHeight="1">
      <c r="A514" s="167" t="s">
        <v>2488</v>
      </c>
      <c r="B514" s="168" t="str">
        <f>RIGHT("a12035484",LEN("a12035484")-1)</f>
        <v>12035484</v>
      </c>
      <c r="C514" s="169" t="s">
        <v>2489</v>
      </c>
      <c r="D514" s="170">
        <v>29027</v>
      </c>
      <c r="E514" s="169" t="s">
        <v>95</v>
      </c>
      <c r="F514" s="168">
        <f aca="true" t="shared" si="8" ref="F514:F577">RIGHT("a",LEN("a")-1)</f>
      </c>
      <c r="G514" s="169" t="s">
        <v>1534</v>
      </c>
      <c r="H514" s="169" t="s">
        <v>2490</v>
      </c>
      <c r="I514" s="169" t="s">
        <v>2491</v>
      </c>
      <c r="J514" s="171"/>
    </row>
    <row r="515" spans="1:10" ht="19.5" customHeight="1">
      <c r="A515" s="167" t="s">
        <v>2492</v>
      </c>
      <c r="B515" s="168" t="str">
        <f>RIGHT("a12035473",LEN("a12035473")-1)</f>
        <v>12035473</v>
      </c>
      <c r="C515" s="169" t="s">
        <v>2493</v>
      </c>
      <c r="D515" s="170">
        <v>32995</v>
      </c>
      <c r="E515" s="169" t="s">
        <v>1533</v>
      </c>
      <c r="F515" s="168">
        <f t="shared" si="8"/>
      </c>
      <c r="G515" s="169" t="s">
        <v>1534</v>
      </c>
      <c r="H515" s="169" t="s">
        <v>2490</v>
      </c>
      <c r="I515" s="169" t="s">
        <v>2491</v>
      </c>
      <c r="J515" s="171"/>
    </row>
    <row r="516" spans="1:10" ht="19.5" customHeight="1">
      <c r="A516" s="167" t="s">
        <v>2494</v>
      </c>
      <c r="B516" s="168" t="str">
        <f>RIGHT("a12035476",LEN("a12035476")-1)</f>
        <v>12035476</v>
      </c>
      <c r="C516" s="169" t="s">
        <v>2495</v>
      </c>
      <c r="D516" s="170">
        <v>33135</v>
      </c>
      <c r="E516" s="169" t="s">
        <v>1533</v>
      </c>
      <c r="F516" s="168">
        <f t="shared" si="8"/>
      </c>
      <c r="G516" s="169" t="s">
        <v>1534</v>
      </c>
      <c r="H516" s="169" t="s">
        <v>2490</v>
      </c>
      <c r="I516" s="169" t="s">
        <v>2491</v>
      </c>
      <c r="J516" s="171"/>
    </row>
    <row r="517" spans="1:10" ht="19.5" customHeight="1">
      <c r="A517" s="167" t="s">
        <v>2496</v>
      </c>
      <c r="B517" s="168" t="str">
        <f>RIGHT("a12035480",LEN("a12035480")-1)</f>
        <v>12035480</v>
      </c>
      <c r="C517" s="169" t="s">
        <v>2497</v>
      </c>
      <c r="D517" s="170">
        <v>31481</v>
      </c>
      <c r="E517" s="169" t="s">
        <v>1533</v>
      </c>
      <c r="F517" s="168">
        <f t="shared" si="8"/>
      </c>
      <c r="G517" s="169" t="s">
        <v>1534</v>
      </c>
      <c r="H517" s="169" t="s">
        <v>2490</v>
      </c>
      <c r="I517" s="169" t="s">
        <v>2491</v>
      </c>
      <c r="J517" s="171"/>
    </row>
    <row r="518" spans="1:10" ht="19.5" customHeight="1">
      <c r="A518" s="167" t="s">
        <v>2498</v>
      </c>
      <c r="B518" s="168" t="str">
        <f>RIGHT("a12035151",LEN("a12035151")-1)</f>
        <v>12035151</v>
      </c>
      <c r="C518" s="169" t="s">
        <v>2499</v>
      </c>
      <c r="D518" s="170">
        <v>26904</v>
      </c>
      <c r="E518" s="169" t="s">
        <v>1533</v>
      </c>
      <c r="F518" s="168">
        <f t="shared" si="8"/>
      </c>
      <c r="G518" s="169" t="s">
        <v>1534</v>
      </c>
      <c r="H518" s="169" t="s">
        <v>2490</v>
      </c>
      <c r="I518" s="169" t="s">
        <v>2491</v>
      </c>
      <c r="J518" s="171"/>
    </row>
    <row r="519" spans="1:10" ht="19.5" customHeight="1">
      <c r="A519" s="167" t="s">
        <v>2500</v>
      </c>
      <c r="B519" s="168" t="str">
        <f>RIGHT("a12035472",LEN("a12035472")-1)</f>
        <v>12035472</v>
      </c>
      <c r="C519" s="169" t="s">
        <v>1452</v>
      </c>
      <c r="D519" s="170">
        <v>26512</v>
      </c>
      <c r="E519" s="169" t="s">
        <v>1533</v>
      </c>
      <c r="F519" s="168">
        <f t="shared" si="8"/>
      </c>
      <c r="G519" s="169" t="s">
        <v>1534</v>
      </c>
      <c r="H519" s="169" t="s">
        <v>2490</v>
      </c>
      <c r="I519" s="169" t="s">
        <v>2491</v>
      </c>
      <c r="J519" s="171"/>
    </row>
    <row r="520" spans="1:10" ht="19.5" customHeight="1">
      <c r="A520" s="167" t="s">
        <v>2501</v>
      </c>
      <c r="B520" s="168" t="str">
        <f>RIGHT("a12035152",LEN("a12035152")-1)</f>
        <v>12035152</v>
      </c>
      <c r="C520" s="169" t="s">
        <v>2502</v>
      </c>
      <c r="D520" s="170">
        <v>32240</v>
      </c>
      <c r="E520" s="169" t="s">
        <v>1533</v>
      </c>
      <c r="F520" s="168">
        <f t="shared" si="8"/>
      </c>
      <c r="G520" s="169" t="s">
        <v>1534</v>
      </c>
      <c r="H520" s="169" t="s">
        <v>2490</v>
      </c>
      <c r="I520" s="169" t="s">
        <v>2491</v>
      </c>
      <c r="J520" s="171"/>
    </row>
    <row r="521" spans="1:10" ht="19.5" customHeight="1">
      <c r="A521" s="167" t="s">
        <v>2503</v>
      </c>
      <c r="B521" s="168" t="str">
        <f>RIGHT("a12035477",LEN("a12035477")-1)</f>
        <v>12035477</v>
      </c>
      <c r="C521" s="169" t="s">
        <v>2504</v>
      </c>
      <c r="D521" s="170">
        <v>32233</v>
      </c>
      <c r="E521" s="169" t="s">
        <v>95</v>
      </c>
      <c r="F521" s="168">
        <f t="shared" si="8"/>
      </c>
      <c r="G521" s="169" t="s">
        <v>1534</v>
      </c>
      <c r="H521" s="169" t="s">
        <v>2490</v>
      </c>
      <c r="I521" s="169" t="s">
        <v>2491</v>
      </c>
      <c r="J521" s="171"/>
    </row>
    <row r="522" spans="1:10" ht="19.5" customHeight="1">
      <c r="A522" s="167" t="s">
        <v>2505</v>
      </c>
      <c r="B522" s="168" t="str">
        <f>RIGHT("a12035481",LEN("a12035481")-1)</f>
        <v>12035481</v>
      </c>
      <c r="C522" s="169" t="s">
        <v>2506</v>
      </c>
      <c r="D522" s="170">
        <v>33199</v>
      </c>
      <c r="E522" s="169" t="s">
        <v>1533</v>
      </c>
      <c r="F522" s="168">
        <f t="shared" si="8"/>
      </c>
      <c r="G522" s="169" t="s">
        <v>1534</v>
      </c>
      <c r="H522" s="169" t="s">
        <v>2490</v>
      </c>
      <c r="I522" s="169" t="s">
        <v>2491</v>
      </c>
      <c r="J522" s="171"/>
    </row>
    <row r="523" spans="1:10" ht="19.5" customHeight="1">
      <c r="A523" s="167" t="s">
        <v>2507</v>
      </c>
      <c r="B523" s="168" t="str">
        <f>RIGHT("a12035154",LEN("a12035154")-1)</f>
        <v>12035154</v>
      </c>
      <c r="C523" s="169" t="s">
        <v>2508</v>
      </c>
      <c r="D523" s="170">
        <v>25262</v>
      </c>
      <c r="E523" s="169" t="s">
        <v>1533</v>
      </c>
      <c r="F523" s="168">
        <f t="shared" si="8"/>
      </c>
      <c r="G523" s="169" t="s">
        <v>1534</v>
      </c>
      <c r="H523" s="169" t="s">
        <v>2490</v>
      </c>
      <c r="I523" s="169" t="s">
        <v>2491</v>
      </c>
      <c r="J523" s="171"/>
    </row>
    <row r="524" spans="1:10" ht="19.5" customHeight="1">
      <c r="A524" s="167" t="s">
        <v>2509</v>
      </c>
      <c r="B524" s="168" t="str">
        <f>RIGHT("a12035153",LEN("a12035153")-1)</f>
        <v>12035153</v>
      </c>
      <c r="C524" s="169" t="s">
        <v>2510</v>
      </c>
      <c r="D524" s="170">
        <v>32598</v>
      </c>
      <c r="E524" s="169" t="s">
        <v>1533</v>
      </c>
      <c r="F524" s="168">
        <f t="shared" si="8"/>
      </c>
      <c r="G524" s="169" t="s">
        <v>1534</v>
      </c>
      <c r="H524" s="169" t="s">
        <v>2490</v>
      </c>
      <c r="I524" s="169" t="s">
        <v>2491</v>
      </c>
      <c r="J524" s="171"/>
    </row>
    <row r="525" spans="1:10" ht="19.5" customHeight="1">
      <c r="A525" s="167" t="s">
        <v>2511</v>
      </c>
      <c r="B525" s="168" t="str">
        <f>RIGHT("a12035478",LEN("a12035478")-1)</f>
        <v>12035478</v>
      </c>
      <c r="C525" s="169" t="s">
        <v>2512</v>
      </c>
      <c r="D525" s="170">
        <v>32374</v>
      </c>
      <c r="E525" s="169" t="s">
        <v>1533</v>
      </c>
      <c r="F525" s="168">
        <f t="shared" si="8"/>
      </c>
      <c r="G525" s="169" t="s">
        <v>1534</v>
      </c>
      <c r="H525" s="169" t="s">
        <v>2490</v>
      </c>
      <c r="I525" s="169" t="s">
        <v>2491</v>
      </c>
      <c r="J525" s="171"/>
    </row>
    <row r="526" spans="1:10" ht="19.5" customHeight="1">
      <c r="A526" s="167" t="s">
        <v>2513</v>
      </c>
      <c r="B526" s="168" t="str">
        <f>RIGHT("a12035475",LEN("a12035475")-1)</f>
        <v>12035475</v>
      </c>
      <c r="C526" s="169" t="s">
        <v>2514</v>
      </c>
      <c r="D526" s="170">
        <v>30458</v>
      </c>
      <c r="E526" s="169" t="s">
        <v>1533</v>
      </c>
      <c r="F526" s="168">
        <f t="shared" si="8"/>
      </c>
      <c r="G526" s="169" t="s">
        <v>1534</v>
      </c>
      <c r="H526" s="169" t="s">
        <v>2490</v>
      </c>
      <c r="I526" s="169" t="s">
        <v>2491</v>
      </c>
      <c r="J526" s="171"/>
    </row>
    <row r="527" spans="1:10" ht="19.5" customHeight="1">
      <c r="A527" s="167" t="s">
        <v>2515</v>
      </c>
      <c r="B527" s="168" t="str">
        <f>RIGHT("a12035485",LEN("a12035485")-1)</f>
        <v>12035485</v>
      </c>
      <c r="C527" s="169" t="s">
        <v>2516</v>
      </c>
      <c r="D527" s="170">
        <v>31781</v>
      </c>
      <c r="E527" s="169" t="s">
        <v>1533</v>
      </c>
      <c r="F527" s="168">
        <f t="shared" si="8"/>
      </c>
      <c r="G527" s="169" t="s">
        <v>1534</v>
      </c>
      <c r="H527" s="169" t="s">
        <v>2490</v>
      </c>
      <c r="I527" s="169" t="s">
        <v>2491</v>
      </c>
      <c r="J527" s="171"/>
    </row>
    <row r="528" spans="1:10" ht="19.5" customHeight="1">
      <c r="A528" s="167" t="s">
        <v>2517</v>
      </c>
      <c r="B528" s="168" t="str">
        <f>RIGHT("a12035479",LEN("a12035479")-1)</f>
        <v>12035479</v>
      </c>
      <c r="C528" s="169" t="s">
        <v>2518</v>
      </c>
      <c r="D528" s="170">
        <v>29377</v>
      </c>
      <c r="E528" s="169" t="s">
        <v>95</v>
      </c>
      <c r="F528" s="168">
        <f t="shared" si="8"/>
      </c>
      <c r="G528" s="169" t="s">
        <v>1534</v>
      </c>
      <c r="H528" s="169" t="s">
        <v>2490</v>
      </c>
      <c r="I528" s="169" t="s">
        <v>2491</v>
      </c>
      <c r="J528" s="171"/>
    </row>
    <row r="529" spans="1:10" ht="19.5" customHeight="1">
      <c r="A529" s="167" t="s">
        <v>2519</v>
      </c>
      <c r="B529" s="168" t="str">
        <f>RIGHT("a12035482",LEN("a12035482")-1)</f>
        <v>12035482</v>
      </c>
      <c r="C529" s="169" t="s">
        <v>2520</v>
      </c>
      <c r="D529" s="170">
        <v>29263</v>
      </c>
      <c r="E529" s="169" t="s">
        <v>1533</v>
      </c>
      <c r="F529" s="168">
        <f t="shared" si="8"/>
      </c>
      <c r="G529" s="169" t="s">
        <v>1534</v>
      </c>
      <c r="H529" s="169" t="s">
        <v>2490</v>
      </c>
      <c r="I529" s="169" t="s">
        <v>2491</v>
      </c>
      <c r="J529" s="171"/>
    </row>
    <row r="530" spans="1:10" ht="19.5" customHeight="1">
      <c r="A530" s="167" t="s">
        <v>2521</v>
      </c>
      <c r="B530" s="168" t="str">
        <f>RIGHT("a12035155",LEN("a12035155")-1)</f>
        <v>12035155</v>
      </c>
      <c r="C530" s="169" t="s">
        <v>2522</v>
      </c>
      <c r="D530" s="170">
        <v>21954</v>
      </c>
      <c r="E530" s="169" t="s">
        <v>95</v>
      </c>
      <c r="F530" s="168">
        <f t="shared" si="8"/>
      </c>
      <c r="G530" s="169" t="s">
        <v>1534</v>
      </c>
      <c r="H530" s="169" t="s">
        <v>2490</v>
      </c>
      <c r="I530" s="169" t="s">
        <v>2491</v>
      </c>
      <c r="J530" s="171"/>
    </row>
    <row r="531" spans="1:10" ht="19.5" customHeight="1">
      <c r="A531" s="167" t="s">
        <v>2523</v>
      </c>
      <c r="B531" s="168" t="str">
        <f>RIGHT("a12035156",LEN("a12035156")-1)</f>
        <v>12035156</v>
      </c>
      <c r="C531" s="169" t="s">
        <v>2524</v>
      </c>
      <c r="D531" s="170">
        <v>31818</v>
      </c>
      <c r="E531" s="169" t="s">
        <v>1533</v>
      </c>
      <c r="F531" s="168">
        <f t="shared" si="8"/>
      </c>
      <c r="G531" s="169" t="s">
        <v>1534</v>
      </c>
      <c r="H531" s="169" t="s">
        <v>2490</v>
      </c>
      <c r="I531" s="169" t="s">
        <v>2491</v>
      </c>
      <c r="J531" s="171"/>
    </row>
    <row r="532" spans="1:10" ht="19.5" customHeight="1">
      <c r="A532" s="167" t="s">
        <v>2525</v>
      </c>
      <c r="B532" s="168" t="str">
        <f>RIGHT("a12035483",LEN("a12035483")-1)</f>
        <v>12035483</v>
      </c>
      <c r="C532" s="169" t="s">
        <v>2526</v>
      </c>
      <c r="D532" s="170">
        <v>29154</v>
      </c>
      <c r="E532" s="169" t="s">
        <v>95</v>
      </c>
      <c r="F532" s="168">
        <f t="shared" si="8"/>
      </c>
      <c r="G532" s="169" t="s">
        <v>1534</v>
      </c>
      <c r="H532" s="169" t="s">
        <v>2490</v>
      </c>
      <c r="I532" s="169" t="s">
        <v>2491</v>
      </c>
      <c r="J532" s="171"/>
    </row>
    <row r="533" spans="1:10" ht="19.5" customHeight="1">
      <c r="A533" s="167" t="s">
        <v>2527</v>
      </c>
      <c r="B533" s="168" t="str">
        <f>RIGHT("a12035474",LEN("a12035474")-1)</f>
        <v>12035474</v>
      </c>
      <c r="C533" s="169" t="s">
        <v>445</v>
      </c>
      <c r="D533" s="170">
        <v>32742</v>
      </c>
      <c r="E533" s="169" t="s">
        <v>1533</v>
      </c>
      <c r="F533" s="168">
        <f t="shared" si="8"/>
      </c>
      <c r="G533" s="169" t="s">
        <v>1534</v>
      </c>
      <c r="H533" s="169" t="s">
        <v>2490</v>
      </c>
      <c r="I533" s="169" t="s">
        <v>2491</v>
      </c>
      <c r="J533" s="171"/>
    </row>
    <row r="534" spans="1:10" ht="19.5" customHeight="1">
      <c r="A534" s="167" t="s">
        <v>2528</v>
      </c>
      <c r="B534" s="168" t="str">
        <f>RIGHT("a12035157",LEN("a12035157")-1)</f>
        <v>12035157</v>
      </c>
      <c r="C534" s="169" t="s">
        <v>1807</v>
      </c>
      <c r="D534" s="170">
        <v>32453</v>
      </c>
      <c r="E534" s="169" t="s">
        <v>1533</v>
      </c>
      <c r="F534" s="168">
        <f t="shared" si="8"/>
      </c>
      <c r="G534" s="169" t="s">
        <v>1534</v>
      </c>
      <c r="H534" s="169" t="s">
        <v>855</v>
      </c>
      <c r="I534" s="169" t="s">
        <v>2529</v>
      </c>
      <c r="J534" s="171"/>
    </row>
    <row r="535" spans="1:10" ht="19.5" customHeight="1">
      <c r="A535" s="167" t="s">
        <v>2530</v>
      </c>
      <c r="B535" s="168" t="str">
        <f>RIGHT("a12035163",LEN("a12035163")-1)</f>
        <v>12035163</v>
      </c>
      <c r="C535" s="169" t="s">
        <v>2531</v>
      </c>
      <c r="D535" s="170">
        <v>31605</v>
      </c>
      <c r="E535" s="169" t="s">
        <v>1533</v>
      </c>
      <c r="F535" s="168">
        <f t="shared" si="8"/>
      </c>
      <c r="G535" s="169" t="s">
        <v>1534</v>
      </c>
      <c r="H535" s="169" t="s">
        <v>855</v>
      </c>
      <c r="I535" s="169" t="s">
        <v>2529</v>
      </c>
      <c r="J535" s="171"/>
    </row>
    <row r="536" spans="1:10" ht="19.5" customHeight="1">
      <c r="A536" s="167" t="s">
        <v>2532</v>
      </c>
      <c r="B536" s="168" t="str">
        <f>RIGHT("a12035513",LEN("a12035513")-1)</f>
        <v>12035513</v>
      </c>
      <c r="C536" s="169" t="s">
        <v>1470</v>
      </c>
      <c r="D536" s="170">
        <v>32774</v>
      </c>
      <c r="E536" s="169" t="s">
        <v>1533</v>
      </c>
      <c r="F536" s="168">
        <f t="shared" si="8"/>
      </c>
      <c r="G536" s="169" t="s">
        <v>1534</v>
      </c>
      <c r="H536" s="169" t="s">
        <v>855</v>
      </c>
      <c r="I536" s="169" t="s">
        <v>2529</v>
      </c>
      <c r="J536" s="171"/>
    </row>
    <row r="537" spans="1:10" ht="19.5" customHeight="1">
      <c r="A537" s="167" t="s">
        <v>2533</v>
      </c>
      <c r="B537" s="168" t="str">
        <f>RIGHT("a12035721",LEN("a12035721")-1)</f>
        <v>12035721</v>
      </c>
      <c r="C537" s="169" t="s">
        <v>2534</v>
      </c>
      <c r="D537" s="170">
        <v>31098</v>
      </c>
      <c r="E537" s="169" t="s">
        <v>1533</v>
      </c>
      <c r="F537" s="168">
        <f t="shared" si="8"/>
      </c>
      <c r="G537" s="169" t="s">
        <v>1534</v>
      </c>
      <c r="H537" s="169" t="s">
        <v>855</v>
      </c>
      <c r="I537" s="169" t="s">
        <v>2529</v>
      </c>
      <c r="J537" s="171"/>
    </row>
    <row r="538" spans="1:10" ht="19.5" customHeight="1">
      <c r="A538" s="167" t="s">
        <v>2535</v>
      </c>
      <c r="B538" s="168" t="str">
        <f>RIGHT("a12035159",LEN("a12035159")-1)</f>
        <v>12035159</v>
      </c>
      <c r="C538" s="169" t="s">
        <v>2536</v>
      </c>
      <c r="D538" s="170">
        <v>32451</v>
      </c>
      <c r="E538" s="169" t="s">
        <v>1533</v>
      </c>
      <c r="F538" s="168">
        <f t="shared" si="8"/>
      </c>
      <c r="G538" s="169" t="s">
        <v>1534</v>
      </c>
      <c r="H538" s="169" t="s">
        <v>855</v>
      </c>
      <c r="I538" s="169" t="s">
        <v>2529</v>
      </c>
      <c r="J538" s="171"/>
    </row>
    <row r="539" spans="1:10" ht="19.5" customHeight="1">
      <c r="A539" s="167" t="s">
        <v>2537</v>
      </c>
      <c r="B539" s="168" t="str">
        <f>RIGHT("a12035510",LEN("a12035510")-1)</f>
        <v>12035510</v>
      </c>
      <c r="C539" s="169" t="s">
        <v>1471</v>
      </c>
      <c r="D539" s="170">
        <v>32962</v>
      </c>
      <c r="E539" s="169" t="s">
        <v>1533</v>
      </c>
      <c r="F539" s="168">
        <f t="shared" si="8"/>
      </c>
      <c r="G539" s="169" t="s">
        <v>1534</v>
      </c>
      <c r="H539" s="169" t="s">
        <v>855</v>
      </c>
      <c r="I539" s="169" t="s">
        <v>2529</v>
      </c>
      <c r="J539" s="171"/>
    </row>
    <row r="540" spans="1:10" ht="19.5" customHeight="1">
      <c r="A540" s="167" t="s">
        <v>2538</v>
      </c>
      <c r="B540" s="168" t="str">
        <f>RIGHT("a12035158",LEN("a12035158")-1)</f>
        <v>12035158</v>
      </c>
      <c r="C540" s="169" t="s">
        <v>2539</v>
      </c>
      <c r="D540" s="170">
        <v>29814</v>
      </c>
      <c r="E540" s="169" t="s">
        <v>1533</v>
      </c>
      <c r="F540" s="168">
        <f t="shared" si="8"/>
      </c>
      <c r="G540" s="169" t="s">
        <v>1534</v>
      </c>
      <c r="H540" s="169" t="s">
        <v>855</v>
      </c>
      <c r="I540" s="169" t="s">
        <v>2529</v>
      </c>
      <c r="J540" s="171"/>
    </row>
    <row r="541" spans="1:10" ht="19.5" customHeight="1">
      <c r="A541" s="167" t="s">
        <v>2540</v>
      </c>
      <c r="B541" s="168" t="str">
        <f>RIGHT("a12035720",LEN("a12035720")-1)</f>
        <v>12035720</v>
      </c>
      <c r="C541" s="169" t="s">
        <v>2541</v>
      </c>
      <c r="D541" s="170">
        <v>32206</v>
      </c>
      <c r="E541" s="169" t="s">
        <v>1533</v>
      </c>
      <c r="F541" s="168">
        <f t="shared" si="8"/>
      </c>
      <c r="G541" s="169" t="s">
        <v>1534</v>
      </c>
      <c r="H541" s="169" t="s">
        <v>855</v>
      </c>
      <c r="I541" s="169" t="s">
        <v>2529</v>
      </c>
      <c r="J541" s="171"/>
    </row>
    <row r="542" spans="1:10" ht="19.5" customHeight="1">
      <c r="A542" s="167" t="s">
        <v>2542</v>
      </c>
      <c r="B542" s="168" t="str">
        <f>RIGHT("a12035719",LEN("a12035719")-1)</f>
        <v>12035719</v>
      </c>
      <c r="C542" s="169" t="s">
        <v>2543</v>
      </c>
      <c r="D542" s="170">
        <v>32529</v>
      </c>
      <c r="E542" s="169" t="s">
        <v>95</v>
      </c>
      <c r="F542" s="168">
        <f t="shared" si="8"/>
      </c>
      <c r="G542" s="169" t="s">
        <v>1534</v>
      </c>
      <c r="H542" s="169" t="s">
        <v>855</v>
      </c>
      <c r="I542" s="169" t="s">
        <v>2529</v>
      </c>
      <c r="J542" s="171"/>
    </row>
    <row r="543" spans="1:10" ht="19.5" customHeight="1">
      <c r="A543" s="167" t="s">
        <v>2544</v>
      </c>
      <c r="B543" s="168" t="str">
        <f>RIGHT("a12035515",LEN("a12035515")-1)</f>
        <v>12035515</v>
      </c>
      <c r="C543" s="169" t="s">
        <v>1472</v>
      </c>
      <c r="D543" s="170">
        <v>30398</v>
      </c>
      <c r="E543" s="169" t="s">
        <v>1533</v>
      </c>
      <c r="F543" s="168">
        <f t="shared" si="8"/>
      </c>
      <c r="G543" s="169" t="s">
        <v>1534</v>
      </c>
      <c r="H543" s="169" t="s">
        <v>855</v>
      </c>
      <c r="I543" s="169" t="s">
        <v>2529</v>
      </c>
      <c r="J543" s="171"/>
    </row>
    <row r="544" spans="1:10" ht="19.5" customHeight="1">
      <c r="A544" s="167" t="s">
        <v>2545</v>
      </c>
      <c r="B544" s="168" t="str">
        <f>RIGHT("a12035512",LEN("a12035512")-1)</f>
        <v>12035512</v>
      </c>
      <c r="C544" s="169" t="s">
        <v>1473</v>
      </c>
      <c r="D544" s="170">
        <v>32237</v>
      </c>
      <c r="E544" s="169" t="s">
        <v>1533</v>
      </c>
      <c r="F544" s="168">
        <f t="shared" si="8"/>
      </c>
      <c r="G544" s="169" t="s">
        <v>1534</v>
      </c>
      <c r="H544" s="169" t="s">
        <v>855</v>
      </c>
      <c r="I544" s="169" t="s">
        <v>2529</v>
      </c>
      <c r="J544" s="171"/>
    </row>
    <row r="545" spans="1:10" ht="19.5" customHeight="1">
      <c r="A545" s="167" t="s">
        <v>2546</v>
      </c>
      <c r="B545" s="168" t="str">
        <f>RIGHT("a12035164",LEN("a12035164")-1)</f>
        <v>12035164</v>
      </c>
      <c r="C545" s="169" t="s">
        <v>2547</v>
      </c>
      <c r="D545" s="170">
        <v>32002</v>
      </c>
      <c r="E545" s="169" t="s">
        <v>95</v>
      </c>
      <c r="F545" s="168">
        <f t="shared" si="8"/>
      </c>
      <c r="G545" s="169" t="s">
        <v>1534</v>
      </c>
      <c r="H545" s="169" t="s">
        <v>855</v>
      </c>
      <c r="I545" s="169" t="s">
        <v>2529</v>
      </c>
      <c r="J545" s="171"/>
    </row>
    <row r="546" spans="1:10" ht="19.5" customHeight="1">
      <c r="A546" s="167" t="s">
        <v>2548</v>
      </c>
      <c r="B546" s="168" t="str">
        <f>RIGHT("a12035722",LEN("a12035722")-1)</f>
        <v>12035722</v>
      </c>
      <c r="C546" s="169" t="s">
        <v>2549</v>
      </c>
      <c r="D546" s="170">
        <v>32342</v>
      </c>
      <c r="E546" s="169" t="s">
        <v>1533</v>
      </c>
      <c r="F546" s="168">
        <f t="shared" si="8"/>
      </c>
      <c r="G546" s="169" t="s">
        <v>1534</v>
      </c>
      <c r="H546" s="169" t="s">
        <v>855</v>
      </c>
      <c r="I546" s="169" t="s">
        <v>2529</v>
      </c>
      <c r="J546" s="171"/>
    </row>
    <row r="547" spans="1:10" ht="19.5" customHeight="1">
      <c r="A547" s="167" t="s">
        <v>2550</v>
      </c>
      <c r="B547" s="168" t="str">
        <f>RIGHT("a12035160",LEN("a12035160")-1)</f>
        <v>12035160</v>
      </c>
      <c r="C547" s="169" t="s">
        <v>2551</v>
      </c>
      <c r="D547" s="170">
        <v>28561</v>
      </c>
      <c r="E547" s="169" t="s">
        <v>95</v>
      </c>
      <c r="F547" s="168">
        <f t="shared" si="8"/>
      </c>
      <c r="G547" s="169" t="s">
        <v>1534</v>
      </c>
      <c r="H547" s="169" t="s">
        <v>855</v>
      </c>
      <c r="I547" s="169" t="s">
        <v>2529</v>
      </c>
      <c r="J547" s="171"/>
    </row>
    <row r="548" spans="1:10" ht="19.5" customHeight="1">
      <c r="A548" s="167" t="s">
        <v>2552</v>
      </c>
      <c r="B548" s="168" t="str">
        <f>RIGHT("a12035718",LEN("a12035718")-1)</f>
        <v>12035718</v>
      </c>
      <c r="C548" s="169" t="s">
        <v>2553</v>
      </c>
      <c r="D548" s="170">
        <v>32164</v>
      </c>
      <c r="E548" s="169" t="s">
        <v>95</v>
      </c>
      <c r="F548" s="168">
        <f t="shared" si="8"/>
      </c>
      <c r="G548" s="169" t="s">
        <v>1534</v>
      </c>
      <c r="H548" s="169" t="s">
        <v>855</v>
      </c>
      <c r="I548" s="169" t="s">
        <v>2529</v>
      </c>
      <c r="J548" s="171"/>
    </row>
    <row r="549" spans="1:10" ht="19.5" customHeight="1">
      <c r="A549" s="167" t="s">
        <v>2554</v>
      </c>
      <c r="B549" s="168" t="str">
        <f>RIGHT("a12035514",LEN("a12035514")-1)</f>
        <v>12035514</v>
      </c>
      <c r="C549" s="169" t="s">
        <v>1475</v>
      </c>
      <c r="D549" s="170">
        <v>32500</v>
      </c>
      <c r="E549" s="169" t="s">
        <v>1533</v>
      </c>
      <c r="F549" s="168">
        <f t="shared" si="8"/>
      </c>
      <c r="G549" s="169" t="s">
        <v>1534</v>
      </c>
      <c r="H549" s="169" t="s">
        <v>855</v>
      </c>
      <c r="I549" s="169" t="s">
        <v>2529</v>
      </c>
      <c r="J549" s="171"/>
    </row>
    <row r="550" spans="1:10" ht="19.5" customHeight="1">
      <c r="A550" s="167" t="s">
        <v>2555</v>
      </c>
      <c r="B550" s="168" t="str">
        <f>RIGHT("a12035511",LEN("a12035511")-1)</f>
        <v>12035511</v>
      </c>
      <c r="C550" s="169" t="s">
        <v>1474</v>
      </c>
      <c r="D550" s="170">
        <v>32262</v>
      </c>
      <c r="E550" s="169" t="s">
        <v>1533</v>
      </c>
      <c r="F550" s="168">
        <f t="shared" si="8"/>
      </c>
      <c r="G550" s="169" t="s">
        <v>1534</v>
      </c>
      <c r="H550" s="169" t="s">
        <v>855</v>
      </c>
      <c r="I550" s="169" t="s">
        <v>2529</v>
      </c>
      <c r="J550" s="171"/>
    </row>
    <row r="551" spans="1:10" ht="19.5" customHeight="1">
      <c r="A551" s="167" t="s">
        <v>2556</v>
      </c>
      <c r="B551" s="168" t="str">
        <f>RIGHT("a12035516",LEN("a12035516")-1)</f>
        <v>12035516</v>
      </c>
      <c r="C551" s="169" t="s">
        <v>1476</v>
      </c>
      <c r="D551" s="170">
        <v>31208</v>
      </c>
      <c r="E551" s="169" t="s">
        <v>95</v>
      </c>
      <c r="F551" s="168">
        <f t="shared" si="8"/>
      </c>
      <c r="G551" s="169" t="s">
        <v>1534</v>
      </c>
      <c r="H551" s="169" t="s">
        <v>855</v>
      </c>
      <c r="I551" s="169" t="s">
        <v>2529</v>
      </c>
      <c r="J551" s="171"/>
    </row>
    <row r="552" spans="1:10" ht="19.5" customHeight="1">
      <c r="A552" s="167" t="s">
        <v>2557</v>
      </c>
      <c r="B552" s="168" t="str">
        <f>RIGHT("a12035161",LEN("a12035161")-1)</f>
        <v>12035161</v>
      </c>
      <c r="C552" s="169" t="s">
        <v>2558</v>
      </c>
      <c r="D552" s="170">
        <v>32126</v>
      </c>
      <c r="E552" s="169" t="s">
        <v>95</v>
      </c>
      <c r="F552" s="168">
        <f t="shared" si="8"/>
      </c>
      <c r="G552" s="169" t="s">
        <v>1534</v>
      </c>
      <c r="H552" s="169" t="s">
        <v>855</v>
      </c>
      <c r="I552" s="169" t="s">
        <v>2529</v>
      </c>
      <c r="J552" s="171"/>
    </row>
    <row r="553" spans="1:10" ht="19.5" customHeight="1">
      <c r="A553" s="167" t="s">
        <v>2559</v>
      </c>
      <c r="B553" s="168" t="str">
        <f>RIGHT("a12035162",LEN("a12035162")-1)</f>
        <v>12035162</v>
      </c>
      <c r="C553" s="169" t="s">
        <v>2560</v>
      </c>
      <c r="D553" s="170">
        <v>32320</v>
      </c>
      <c r="E553" s="169" t="s">
        <v>1533</v>
      </c>
      <c r="F553" s="168">
        <f t="shared" si="8"/>
      </c>
      <c r="G553" s="169" t="s">
        <v>1534</v>
      </c>
      <c r="H553" s="169" t="s">
        <v>855</v>
      </c>
      <c r="I553" s="169" t="s">
        <v>2529</v>
      </c>
      <c r="J553" s="171"/>
    </row>
    <row r="554" spans="1:10" ht="19.5" customHeight="1">
      <c r="A554" s="167" t="s">
        <v>2561</v>
      </c>
      <c r="B554" s="168" t="str">
        <f>RIGHT("a12035723",LEN("a12035723")-1)</f>
        <v>12035723</v>
      </c>
      <c r="C554" s="169" t="s">
        <v>2562</v>
      </c>
      <c r="D554" s="170">
        <v>32960</v>
      </c>
      <c r="E554" s="169" t="s">
        <v>95</v>
      </c>
      <c r="F554" s="168">
        <f t="shared" si="8"/>
      </c>
      <c r="G554" s="169" t="s">
        <v>1534</v>
      </c>
      <c r="H554" s="169" t="s">
        <v>855</v>
      </c>
      <c r="I554" s="169" t="s">
        <v>2529</v>
      </c>
      <c r="J554" s="171"/>
    </row>
    <row r="555" spans="1:10" ht="19.5" customHeight="1">
      <c r="A555" s="167" t="s">
        <v>2563</v>
      </c>
      <c r="B555" s="168" t="str">
        <f>RIGHT("a12035527",LEN("a12035527")-1)</f>
        <v>12035527</v>
      </c>
      <c r="C555" s="169" t="s">
        <v>1478</v>
      </c>
      <c r="D555" s="170">
        <v>33254</v>
      </c>
      <c r="E555" s="169" t="s">
        <v>1533</v>
      </c>
      <c r="F555" s="168">
        <f t="shared" si="8"/>
      </c>
      <c r="G555" s="169" t="s">
        <v>1534</v>
      </c>
      <c r="H555" s="169" t="s">
        <v>2564</v>
      </c>
      <c r="I555" s="169" t="s">
        <v>2565</v>
      </c>
      <c r="J555" s="171"/>
    </row>
    <row r="556" spans="1:10" ht="19.5" customHeight="1">
      <c r="A556" s="167" t="s">
        <v>2566</v>
      </c>
      <c r="B556" s="168" t="str">
        <f>RIGHT("a12035523",LEN("a12035523")-1)</f>
        <v>12035523</v>
      </c>
      <c r="C556" s="169" t="s">
        <v>1477</v>
      </c>
      <c r="D556" s="170">
        <v>30605</v>
      </c>
      <c r="E556" s="169" t="s">
        <v>95</v>
      </c>
      <c r="F556" s="168">
        <f t="shared" si="8"/>
      </c>
      <c r="G556" s="169" t="s">
        <v>1534</v>
      </c>
      <c r="H556" s="169" t="s">
        <v>2564</v>
      </c>
      <c r="I556" s="169" t="s">
        <v>2565</v>
      </c>
      <c r="J556" s="171"/>
    </row>
    <row r="557" spans="1:10" ht="19.5" customHeight="1">
      <c r="A557" s="167" t="s">
        <v>2567</v>
      </c>
      <c r="B557" s="168" t="str">
        <f>RIGHT("a12035531",LEN("a12035531")-1)</f>
        <v>12035531</v>
      </c>
      <c r="C557" s="169" t="s">
        <v>1479</v>
      </c>
      <c r="D557" s="170">
        <v>33001</v>
      </c>
      <c r="E557" s="169" t="s">
        <v>1533</v>
      </c>
      <c r="F557" s="168">
        <f t="shared" si="8"/>
      </c>
      <c r="G557" s="169" t="s">
        <v>1534</v>
      </c>
      <c r="H557" s="169" t="s">
        <v>2564</v>
      </c>
      <c r="I557" s="169" t="s">
        <v>2565</v>
      </c>
      <c r="J557" s="171"/>
    </row>
    <row r="558" spans="1:10" ht="19.5" customHeight="1">
      <c r="A558" s="167" t="s">
        <v>2568</v>
      </c>
      <c r="B558" s="168" t="str">
        <f>RIGHT("a12035534",LEN("a12035534")-1)</f>
        <v>12035534</v>
      </c>
      <c r="C558" s="169" t="s">
        <v>1481</v>
      </c>
      <c r="D558" s="170">
        <v>32469</v>
      </c>
      <c r="E558" s="169" t="s">
        <v>1533</v>
      </c>
      <c r="F558" s="168">
        <f t="shared" si="8"/>
      </c>
      <c r="G558" s="169" t="s">
        <v>1534</v>
      </c>
      <c r="H558" s="169" t="s">
        <v>2564</v>
      </c>
      <c r="I558" s="169" t="s">
        <v>2565</v>
      </c>
      <c r="J558" s="171"/>
    </row>
    <row r="559" spans="1:10" ht="19.5" customHeight="1">
      <c r="A559" s="167" t="s">
        <v>2569</v>
      </c>
      <c r="B559" s="168" t="str">
        <f>RIGHT("a12035165",LEN("a12035165")-1)</f>
        <v>12035165</v>
      </c>
      <c r="C559" s="169" t="s">
        <v>2570</v>
      </c>
      <c r="D559" s="170">
        <v>30041</v>
      </c>
      <c r="E559" s="169" t="s">
        <v>95</v>
      </c>
      <c r="F559" s="168">
        <f t="shared" si="8"/>
      </c>
      <c r="G559" s="169" t="s">
        <v>1534</v>
      </c>
      <c r="H559" s="169" t="s">
        <v>2564</v>
      </c>
      <c r="I559" s="169" t="s">
        <v>2565</v>
      </c>
      <c r="J559" s="171"/>
    </row>
    <row r="560" spans="1:10" ht="19.5" customHeight="1">
      <c r="A560" s="167" t="s">
        <v>2571</v>
      </c>
      <c r="B560" s="168" t="str">
        <f>RIGHT("a12035518",LEN("a12035518")-1)</f>
        <v>12035518</v>
      </c>
      <c r="C560" s="169" t="s">
        <v>1480</v>
      </c>
      <c r="D560" s="170">
        <v>33170</v>
      </c>
      <c r="E560" s="169" t="s">
        <v>1533</v>
      </c>
      <c r="F560" s="168">
        <f t="shared" si="8"/>
      </c>
      <c r="G560" s="169" t="s">
        <v>1534</v>
      </c>
      <c r="H560" s="169" t="s">
        <v>2564</v>
      </c>
      <c r="I560" s="169" t="s">
        <v>2565</v>
      </c>
      <c r="J560" s="171"/>
    </row>
    <row r="561" spans="1:10" ht="19.5" customHeight="1">
      <c r="A561" s="167" t="s">
        <v>2572</v>
      </c>
      <c r="B561" s="168" t="str">
        <f>RIGHT("a12035519",LEN("a12035519")-1)</f>
        <v>12035519</v>
      </c>
      <c r="C561" s="169" t="s">
        <v>1482</v>
      </c>
      <c r="D561" s="170">
        <v>27158</v>
      </c>
      <c r="E561" s="169" t="s">
        <v>1533</v>
      </c>
      <c r="F561" s="168">
        <f t="shared" si="8"/>
      </c>
      <c r="G561" s="169" t="s">
        <v>1534</v>
      </c>
      <c r="H561" s="169" t="s">
        <v>2564</v>
      </c>
      <c r="I561" s="169" t="s">
        <v>2565</v>
      </c>
      <c r="J561" s="171"/>
    </row>
    <row r="562" spans="1:10" ht="19.5" customHeight="1">
      <c r="A562" s="167" t="s">
        <v>2573</v>
      </c>
      <c r="B562" s="168" t="str">
        <f>RIGHT("a12035520",LEN("a12035520")-1)</f>
        <v>12035520</v>
      </c>
      <c r="C562" s="169" t="s">
        <v>1483</v>
      </c>
      <c r="D562" s="170">
        <v>25739</v>
      </c>
      <c r="E562" s="169" t="s">
        <v>95</v>
      </c>
      <c r="F562" s="168">
        <f t="shared" si="8"/>
      </c>
      <c r="G562" s="169" t="s">
        <v>1534</v>
      </c>
      <c r="H562" s="169" t="s">
        <v>2564</v>
      </c>
      <c r="I562" s="169" t="s">
        <v>2565</v>
      </c>
      <c r="J562" s="171"/>
    </row>
    <row r="563" spans="1:10" ht="19.5" customHeight="1">
      <c r="A563" s="167" t="s">
        <v>2574</v>
      </c>
      <c r="B563" s="168" t="str">
        <f>RIGHT("a12035533",LEN("a12035533")-1)</f>
        <v>12035533</v>
      </c>
      <c r="C563" s="169" t="s">
        <v>1485</v>
      </c>
      <c r="D563" s="170">
        <v>33201</v>
      </c>
      <c r="E563" s="169" t="s">
        <v>1533</v>
      </c>
      <c r="F563" s="168">
        <f t="shared" si="8"/>
      </c>
      <c r="G563" s="169" t="s">
        <v>1534</v>
      </c>
      <c r="H563" s="169" t="s">
        <v>2564</v>
      </c>
      <c r="I563" s="169" t="s">
        <v>2565</v>
      </c>
      <c r="J563" s="171"/>
    </row>
    <row r="564" spans="1:10" ht="19.5" customHeight="1">
      <c r="A564" s="167" t="s">
        <v>2575</v>
      </c>
      <c r="B564" s="168" t="str">
        <f>RIGHT("a12035535",LEN("a12035535")-1)</f>
        <v>12035535</v>
      </c>
      <c r="C564" s="169" t="s">
        <v>2576</v>
      </c>
      <c r="D564" s="170">
        <v>32919</v>
      </c>
      <c r="E564" s="169" t="s">
        <v>1533</v>
      </c>
      <c r="F564" s="168">
        <f t="shared" si="8"/>
      </c>
      <c r="G564" s="169" t="s">
        <v>1534</v>
      </c>
      <c r="H564" s="169" t="s">
        <v>2564</v>
      </c>
      <c r="I564" s="169" t="s">
        <v>2565</v>
      </c>
      <c r="J564" s="171"/>
    </row>
    <row r="565" spans="1:10" ht="19.5" customHeight="1">
      <c r="A565" s="167" t="s">
        <v>2577</v>
      </c>
      <c r="B565" s="168" t="str">
        <f>RIGHT("a12035528",LEN("a12035528")-1)</f>
        <v>12035528</v>
      </c>
      <c r="C565" s="169" t="s">
        <v>1484</v>
      </c>
      <c r="D565" s="170">
        <v>32393</v>
      </c>
      <c r="E565" s="169" t="s">
        <v>1533</v>
      </c>
      <c r="F565" s="168">
        <f t="shared" si="8"/>
      </c>
      <c r="G565" s="169" t="s">
        <v>1534</v>
      </c>
      <c r="H565" s="169" t="s">
        <v>2564</v>
      </c>
      <c r="I565" s="169" t="s">
        <v>2565</v>
      </c>
      <c r="J565" s="171"/>
    </row>
    <row r="566" spans="1:10" ht="19.5" customHeight="1">
      <c r="A566" s="167" t="s">
        <v>2578</v>
      </c>
      <c r="B566" s="168" t="str">
        <f>RIGHT("a12035166",LEN("a12035166")-1)</f>
        <v>12035166</v>
      </c>
      <c r="C566" s="169" t="s">
        <v>2579</v>
      </c>
      <c r="D566" s="170">
        <v>32467</v>
      </c>
      <c r="E566" s="169" t="s">
        <v>1533</v>
      </c>
      <c r="F566" s="168">
        <f t="shared" si="8"/>
      </c>
      <c r="G566" s="169" t="s">
        <v>1534</v>
      </c>
      <c r="H566" s="169" t="s">
        <v>2564</v>
      </c>
      <c r="I566" s="169" t="s">
        <v>2565</v>
      </c>
      <c r="J566" s="171"/>
    </row>
    <row r="567" spans="1:10" ht="19.5" customHeight="1">
      <c r="A567" s="167" t="s">
        <v>2580</v>
      </c>
      <c r="B567" s="168" t="str">
        <f>RIGHT("a12035167",LEN("a12035167")-1)</f>
        <v>12035167</v>
      </c>
      <c r="C567" s="169" t="s">
        <v>2581</v>
      </c>
      <c r="D567" s="170">
        <v>29759</v>
      </c>
      <c r="E567" s="169" t="s">
        <v>1533</v>
      </c>
      <c r="F567" s="168">
        <f t="shared" si="8"/>
      </c>
      <c r="G567" s="169" t="s">
        <v>1534</v>
      </c>
      <c r="H567" s="169" t="s">
        <v>2564</v>
      </c>
      <c r="I567" s="169" t="s">
        <v>2565</v>
      </c>
      <c r="J567" s="171"/>
    </row>
    <row r="568" spans="1:10" ht="19.5" customHeight="1">
      <c r="A568" s="167" t="s">
        <v>2582</v>
      </c>
      <c r="B568" s="168" t="str">
        <f>RIGHT("a12035168",LEN("a12035168")-1)</f>
        <v>12035168</v>
      </c>
      <c r="C568" s="169" t="s">
        <v>2583</v>
      </c>
      <c r="D568" s="170">
        <v>32114</v>
      </c>
      <c r="E568" s="169" t="s">
        <v>95</v>
      </c>
      <c r="F568" s="168">
        <f t="shared" si="8"/>
      </c>
      <c r="G568" s="169" t="s">
        <v>1534</v>
      </c>
      <c r="H568" s="169" t="s">
        <v>2564</v>
      </c>
      <c r="I568" s="169" t="s">
        <v>2565</v>
      </c>
      <c r="J568" s="171"/>
    </row>
    <row r="569" spans="1:10" ht="19.5" customHeight="1">
      <c r="A569" s="167" t="s">
        <v>2584</v>
      </c>
      <c r="B569" s="168" t="str">
        <f>RIGHT("a12035517",LEN("a12035517")-1)</f>
        <v>12035517</v>
      </c>
      <c r="C569" s="169" t="s">
        <v>1486</v>
      </c>
      <c r="D569" s="170">
        <v>33047</v>
      </c>
      <c r="E569" s="169" t="s">
        <v>1533</v>
      </c>
      <c r="F569" s="168">
        <f t="shared" si="8"/>
      </c>
      <c r="G569" s="169" t="s">
        <v>1534</v>
      </c>
      <c r="H569" s="169" t="s">
        <v>2564</v>
      </c>
      <c r="I569" s="169" t="s">
        <v>2565</v>
      </c>
      <c r="J569" s="171"/>
    </row>
    <row r="570" spans="1:10" ht="19.5" customHeight="1">
      <c r="A570" s="167" t="s">
        <v>2585</v>
      </c>
      <c r="B570" s="168" t="str">
        <f>RIGHT("a12035169",LEN("a12035169")-1)</f>
        <v>12035169</v>
      </c>
      <c r="C570" s="169" t="s">
        <v>2586</v>
      </c>
      <c r="D570" s="170">
        <v>32566</v>
      </c>
      <c r="E570" s="169" t="s">
        <v>95</v>
      </c>
      <c r="F570" s="168">
        <f t="shared" si="8"/>
      </c>
      <c r="G570" s="169" t="s">
        <v>1534</v>
      </c>
      <c r="H570" s="169" t="s">
        <v>2564</v>
      </c>
      <c r="I570" s="169" t="s">
        <v>2565</v>
      </c>
      <c r="J570" s="171"/>
    </row>
    <row r="571" spans="1:10" ht="19.5" customHeight="1">
      <c r="A571" s="167" t="s">
        <v>2587</v>
      </c>
      <c r="B571" s="168" t="str">
        <f>RIGHT("a12035521",LEN("a12035521")-1)</f>
        <v>12035521</v>
      </c>
      <c r="C571" s="169" t="s">
        <v>2588</v>
      </c>
      <c r="D571" s="170">
        <v>28183</v>
      </c>
      <c r="E571" s="169" t="s">
        <v>1533</v>
      </c>
      <c r="F571" s="168">
        <f t="shared" si="8"/>
      </c>
      <c r="G571" s="169" t="s">
        <v>1534</v>
      </c>
      <c r="H571" s="169" t="s">
        <v>2564</v>
      </c>
      <c r="I571" s="169" t="s">
        <v>2565</v>
      </c>
      <c r="J571" s="171"/>
    </row>
    <row r="572" spans="1:10" ht="19.5" customHeight="1">
      <c r="A572" s="167" t="s">
        <v>2589</v>
      </c>
      <c r="B572" s="168" t="str">
        <f>RIGHT("a12035170",LEN("a12035170")-1)</f>
        <v>12035170</v>
      </c>
      <c r="C572" s="169" t="s">
        <v>2590</v>
      </c>
      <c r="D572" s="170">
        <v>32171</v>
      </c>
      <c r="E572" s="169" t="s">
        <v>1533</v>
      </c>
      <c r="F572" s="168">
        <f t="shared" si="8"/>
      </c>
      <c r="G572" s="169" t="s">
        <v>1534</v>
      </c>
      <c r="H572" s="169" t="s">
        <v>2564</v>
      </c>
      <c r="I572" s="169" t="s">
        <v>2565</v>
      </c>
      <c r="J572" s="171"/>
    </row>
    <row r="573" spans="1:10" ht="19.5" customHeight="1">
      <c r="A573" s="167" t="s">
        <v>2591</v>
      </c>
      <c r="B573" s="168" t="str">
        <f>RIGHT("a12035171",LEN("a12035171")-1)</f>
        <v>12035171</v>
      </c>
      <c r="C573" s="169" t="s">
        <v>2592</v>
      </c>
      <c r="D573" s="170">
        <v>31014</v>
      </c>
      <c r="E573" s="169" t="s">
        <v>95</v>
      </c>
      <c r="F573" s="168">
        <f t="shared" si="8"/>
      </c>
      <c r="G573" s="169" t="s">
        <v>1534</v>
      </c>
      <c r="H573" s="169" t="s">
        <v>2564</v>
      </c>
      <c r="I573" s="169" t="s">
        <v>2565</v>
      </c>
      <c r="J573" s="171"/>
    </row>
    <row r="574" spans="1:10" ht="19.5" customHeight="1">
      <c r="A574" s="167" t="s">
        <v>2593</v>
      </c>
      <c r="B574" s="168" t="str">
        <f>RIGHT("a12035178",LEN("a12035178")-1)</f>
        <v>12035178</v>
      </c>
      <c r="C574" s="169" t="s">
        <v>2594</v>
      </c>
      <c r="D574" s="170">
        <v>31173</v>
      </c>
      <c r="E574" s="169" t="s">
        <v>95</v>
      </c>
      <c r="F574" s="168">
        <f t="shared" si="8"/>
      </c>
      <c r="G574" s="169" t="s">
        <v>1534</v>
      </c>
      <c r="H574" s="169" t="s">
        <v>2564</v>
      </c>
      <c r="I574" s="169" t="s">
        <v>2565</v>
      </c>
      <c r="J574" s="171"/>
    </row>
    <row r="575" spans="1:10" ht="19.5" customHeight="1">
      <c r="A575" s="167" t="s">
        <v>2595</v>
      </c>
      <c r="B575" s="168" t="str">
        <f>RIGHT("a12035524",LEN("a12035524")-1)</f>
        <v>12035524</v>
      </c>
      <c r="C575" s="169" t="s">
        <v>1487</v>
      </c>
      <c r="D575" s="170">
        <v>30011</v>
      </c>
      <c r="E575" s="169" t="s">
        <v>1533</v>
      </c>
      <c r="F575" s="168">
        <f t="shared" si="8"/>
      </c>
      <c r="G575" s="169" t="s">
        <v>1534</v>
      </c>
      <c r="H575" s="169" t="s">
        <v>2564</v>
      </c>
      <c r="I575" s="169" t="s">
        <v>2565</v>
      </c>
      <c r="J575" s="171"/>
    </row>
    <row r="576" spans="1:10" ht="19.5" customHeight="1">
      <c r="A576" s="167" t="s">
        <v>2596</v>
      </c>
      <c r="B576" s="168" t="str">
        <f>RIGHT("a12035522",LEN("a12035522")-1)</f>
        <v>12035522</v>
      </c>
      <c r="C576" s="169" t="s">
        <v>210</v>
      </c>
      <c r="D576" s="170">
        <v>32521</v>
      </c>
      <c r="E576" s="169" t="s">
        <v>1533</v>
      </c>
      <c r="F576" s="168">
        <f t="shared" si="8"/>
      </c>
      <c r="G576" s="169" t="s">
        <v>1534</v>
      </c>
      <c r="H576" s="169" t="s">
        <v>2564</v>
      </c>
      <c r="I576" s="169" t="s">
        <v>2565</v>
      </c>
      <c r="J576" s="171"/>
    </row>
    <row r="577" spans="1:10" ht="19.5" customHeight="1">
      <c r="A577" s="167" t="s">
        <v>2597</v>
      </c>
      <c r="B577" s="168" t="str">
        <f>RIGHT("a12035529",LEN("a12035529")-1)</f>
        <v>12035529</v>
      </c>
      <c r="C577" s="169" t="s">
        <v>1488</v>
      </c>
      <c r="D577" s="170">
        <v>33113</v>
      </c>
      <c r="E577" s="169" t="s">
        <v>1533</v>
      </c>
      <c r="F577" s="168">
        <f t="shared" si="8"/>
      </c>
      <c r="G577" s="169" t="s">
        <v>1534</v>
      </c>
      <c r="H577" s="169" t="s">
        <v>2564</v>
      </c>
      <c r="I577" s="169" t="s">
        <v>2565</v>
      </c>
      <c r="J577" s="171"/>
    </row>
    <row r="578" spans="1:10" ht="19.5" customHeight="1">
      <c r="A578" s="167" t="s">
        <v>2598</v>
      </c>
      <c r="B578" s="168" t="str">
        <f>RIGHT("a12035725",LEN("a12035725")-1)</f>
        <v>12035725</v>
      </c>
      <c r="C578" s="169" t="s">
        <v>1496</v>
      </c>
      <c r="D578" s="170">
        <v>32016</v>
      </c>
      <c r="E578" s="169" t="s">
        <v>95</v>
      </c>
      <c r="F578" s="168">
        <f aca="true" t="shared" si="9" ref="F578:F641">RIGHT("a",LEN("a")-1)</f>
      </c>
      <c r="G578" s="169" t="s">
        <v>1534</v>
      </c>
      <c r="H578" s="169" t="s">
        <v>2564</v>
      </c>
      <c r="I578" s="169" t="s">
        <v>2565</v>
      </c>
      <c r="J578" s="171"/>
    </row>
    <row r="579" spans="1:10" ht="19.5" customHeight="1">
      <c r="A579" s="167" t="s">
        <v>2599</v>
      </c>
      <c r="B579" s="168" t="str">
        <f>RIGHT("a12035724",LEN("a12035724")-1)</f>
        <v>12035724</v>
      </c>
      <c r="C579" s="169" t="s">
        <v>1495</v>
      </c>
      <c r="D579" s="170">
        <v>31767</v>
      </c>
      <c r="E579" s="169" t="s">
        <v>95</v>
      </c>
      <c r="F579" s="168">
        <f t="shared" si="9"/>
      </c>
      <c r="G579" s="169" t="s">
        <v>1534</v>
      </c>
      <c r="H579" s="169" t="s">
        <v>2564</v>
      </c>
      <c r="I579" s="169" t="s">
        <v>2565</v>
      </c>
      <c r="J579" s="171"/>
    </row>
    <row r="580" spans="1:10" ht="19.5" customHeight="1">
      <c r="A580" s="167" t="s">
        <v>2600</v>
      </c>
      <c r="B580" s="168" t="str">
        <f>RIGHT("a12035532",LEN("a12035532")-1)</f>
        <v>12035532</v>
      </c>
      <c r="C580" s="169" t="s">
        <v>1489</v>
      </c>
      <c r="D580" s="170">
        <v>33097</v>
      </c>
      <c r="E580" s="169" t="s">
        <v>1533</v>
      </c>
      <c r="F580" s="168">
        <f t="shared" si="9"/>
      </c>
      <c r="G580" s="169" t="s">
        <v>1534</v>
      </c>
      <c r="H580" s="169" t="s">
        <v>2564</v>
      </c>
      <c r="I580" s="169" t="s">
        <v>2565</v>
      </c>
      <c r="J580" s="171"/>
    </row>
    <row r="581" spans="1:10" ht="19.5" customHeight="1">
      <c r="A581" s="167" t="s">
        <v>2601</v>
      </c>
      <c r="B581" s="168" t="str">
        <f>RIGHT("a12035172",LEN("a12035172")-1)</f>
        <v>12035172</v>
      </c>
      <c r="C581" s="169" t="s">
        <v>2602</v>
      </c>
      <c r="D581" s="170">
        <v>26157</v>
      </c>
      <c r="E581" s="169" t="s">
        <v>95</v>
      </c>
      <c r="F581" s="168">
        <f t="shared" si="9"/>
      </c>
      <c r="G581" s="169" t="s">
        <v>1534</v>
      </c>
      <c r="H581" s="169" t="s">
        <v>2564</v>
      </c>
      <c r="I581" s="169" t="s">
        <v>2565</v>
      </c>
      <c r="J581" s="171"/>
    </row>
    <row r="582" spans="1:10" ht="19.5" customHeight="1">
      <c r="A582" s="167" t="s">
        <v>2603</v>
      </c>
      <c r="B582" s="168" t="str">
        <f>RIGHT("a12035537",LEN("a12035537")-1)</f>
        <v>12035537</v>
      </c>
      <c r="C582" s="169" t="s">
        <v>1494</v>
      </c>
      <c r="D582" s="170">
        <v>32950</v>
      </c>
      <c r="E582" s="169" t="s">
        <v>1533</v>
      </c>
      <c r="F582" s="168">
        <f t="shared" si="9"/>
      </c>
      <c r="G582" s="169" t="s">
        <v>1534</v>
      </c>
      <c r="H582" s="169" t="s">
        <v>2564</v>
      </c>
      <c r="I582" s="169" t="s">
        <v>2565</v>
      </c>
      <c r="J582" s="171"/>
    </row>
    <row r="583" spans="1:10" ht="19.5" customHeight="1">
      <c r="A583" s="167" t="s">
        <v>2604</v>
      </c>
      <c r="B583" s="168" t="str">
        <f>RIGHT("a12035173",LEN("a12035173")-1)</f>
        <v>12035173</v>
      </c>
      <c r="C583" s="169" t="s">
        <v>2605</v>
      </c>
      <c r="D583" s="170">
        <v>30360</v>
      </c>
      <c r="E583" s="169" t="s">
        <v>1533</v>
      </c>
      <c r="F583" s="168">
        <f t="shared" si="9"/>
      </c>
      <c r="G583" s="169" t="s">
        <v>1534</v>
      </c>
      <c r="H583" s="169" t="s">
        <v>2564</v>
      </c>
      <c r="I583" s="169" t="s">
        <v>2565</v>
      </c>
      <c r="J583" s="171"/>
    </row>
    <row r="584" spans="1:10" ht="19.5" customHeight="1">
      <c r="A584" s="167" t="s">
        <v>2606</v>
      </c>
      <c r="B584" s="168" t="str">
        <f>RIGHT("a12035174",LEN("a12035174")-1)</f>
        <v>12035174</v>
      </c>
      <c r="C584" s="169" t="s">
        <v>2607</v>
      </c>
      <c r="D584" s="170">
        <v>32437</v>
      </c>
      <c r="E584" s="169" t="s">
        <v>1533</v>
      </c>
      <c r="F584" s="168">
        <f t="shared" si="9"/>
      </c>
      <c r="G584" s="169" t="s">
        <v>1534</v>
      </c>
      <c r="H584" s="169" t="s">
        <v>2564</v>
      </c>
      <c r="I584" s="169" t="s">
        <v>2565</v>
      </c>
      <c r="J584" s="171"/>
    </row>
    <row r="585" spans="1:10" ht="19.5" customHeight="1">
      <c r="A585" s="167" t="s">
        <v>2608</v>
      </c>
      <c r="B585" s="168" t="str">
        <f>RIGHT("a12035536",LEN("a12035536")-1)</f>
        <v>12035536</v>
      </c>
      <c r="C585" s="169" t="s">
        <v>1493</v>
      </c>
      <c r="D585" s="170">
        <v>33228</v>
      </c>
      <c r="E585" s="169" t="s">
        <v>1533</v>
      </c>
      <c r="F585" s="168">
        <f t="shared" si="9"/>
      </c>
      <c r="G585" s="169" t="s">
        <v>1534</v>
      </c>
      <c r="H585" s="169" t="s">
        <v>2564</v>
      </c>
      <c r="I585" s="169" t="s">
        <v>2565</v>
      </c>
      <c r="J585" s="171"/>
    </row>
    <row r="586" spans="1:10" ht="19.5" customHeight="1">
      <c r="A586" s="167" t="s">
        <v>2609</v>
      </c>
      <c r="B586" s="168" t="str">
        <f>RIGHT("a12035175",LEN("a12035175")-1)</f>
        <v>12035175</v>
      </c>
      <c r="C586" s="169" t="s">
        <v>2558</v>
      </c>
      <c r="D586" s="170">
        <v>30955</v>
      </c>
      <c r="E586" s="169" t="s">
        <v>95</v>
      </c>
      <c r="F586" s="168">
        <f t="shared" si="9"/>
      </c>
      <c r="G586" s="169" t="s">
        <v>1534</v>
      </c>
      <c r="H586" s="169" t="s">
        <v>2564</v>
      </c>
      <c r="I586" s="169" t="s">
        <v>2565</v>
      </c>
      <c r="J586" s="171"/>
    </row>
    <row r="587" spans="1:10" ht="19.5" customHeight="1">
      <c r="A587" s="167" t="s">
        <v>2610</v>
      </c>
      <c r="B587" s="168" t="str">
        <f>RIGHT("a12035176",LEN("a12035176")-1)</f>
        <v>12035176</v>
      </c>
      <c r="C587" s="169" t="s">
        <v>2611</v>
      </c>
      <c r="D587" s="170">
        <v>28968</v>
      </c>
      <c r="E587" s="169" t="s">
        <v>1533</v>
      </c>
      <c r="F587" s="168">
        <f t="shared" si="9"/>
      </c>
      <c r="G587" s="169" t="s">
        <v>1534</v>
      </c>
      <c r="H587" s="169" t="s">
        <v>2564</v>
      </c>
      <c r="I587" s="169" t="s">
        <v>2565</v>
      </c>
      <c r="J587" s="171"/>
    </row>
    <row r="588" spans="1:10" ht="19.5" customHeight="1">
      <c r="A588" s="167" t="s">
        <v>2612</v>
      </c>
      <c r="B588" s="168" t="str">
        <f>RIGHT("a12035530",LEN("a12035530")-1)</f>
        <v>12035530</v>
      </c>
      <c r="C588" s="169" t="s">
        <v>1490</v>
      </c>
      <c r="D588" s="170">
        <v>33094</v>
      </c>
      <c r="E588" s="169" t="s">
        <v>1533</v>
      </c>
      <c r="F588" s="168">
        <f t="shared" si="9"/>
      </c>
      <c r="G588" s="169" t="s">
        <v>1534</v>
      </c>
      <c r="H588" s="169" t="s">
        <v>2564</v>
      </c>
      <c r="I588" s="169" t="s">
        <v>2565</v>
      </c>
      <c r="J588" s="171"/>
    </row>
    <row r="589" spans="1:10" ht="19.5" customHeight="1">
      <c r="A589" s="167" t="s">
        <v>2613</v>
      </c>
      <c r="B589" s="168" t="str">
        <f>RIGHT("a12035525",LEN("a12035525")-1)</f>
        <v>12035525</v>
      </c>
      <c r="C589" s="169" t="s">
        <v>1491</v>
      </c>
      <c r="D589" s="170">
        <v>31868</v>
      </c>
      <c r="E589" s="169" t="s">
        <v>95</v>
      </c>
      <c r="F589" s="168">
        <f t="shared" si="9"/>
      </c>
      <c r="G589" s="169" t="s">
        <v>1534</v>
      </c>
      <c r="H589" s="169" t="s">
        <v>2564</v>
      </c>
      <c r="I589" s="169" t="s">
        <v>2565</v>
      </c>
      <c r="J589" s="171"/>
    </row>
    <row r="590" spans="1:10" ht="19.5" customHeight="1">
      <c r="A590" s="167" t="s">
        <v>2614</v>
      </c>
      <c r="B590" s="168" t="str">
        <f>RIGHT("a12035526",LEN("a12035526")-1)</f>
        <v>12035526</v>
      </c>
      <c r="C590" s="169" t="s">
        <v>1492</v>
      </c>
      <c r="D590" s="170">
        <v>33128</v>
      </c>
      <c r="E590" s="169" t="s">
        <v>95</v>
      </c>
      <c r="F590" s="168">
        <f t="shared" si="9"/>
      </c>
      <c r="G590" s="169" t="s">
        <v>1534</v>
      </c>
      <c r="H590" s="169" t="s">
        <v>2564</v>
      </c>
      <c r="I590" s="169" t="s">
        <v>2565</v>
      </c>
      <c r="J590" s="171"/>
    </row>
    <row r="591" spans="1:10" ht="19.5" customHeight="1">
      <c r="A591" s="167" t="s">
        <v>2615</v>
      </c>
      <c r="B591" s="168" t="str">
        <f>RIGHT("a12035177",LEN("a12035177")-1)</f>
        <v>12035177</v>
      </c>
      <c r="C591" s="169" t="s">
        <v>2616</v>
      </c>
      <c r="D591" s="170">
        <v>32138</v>
      </c>
      <c r="E591" s="169" t="s">
        <v>1533</v>
      </c>
      <c r="F591" s="168">
        <f t="shared" si="9"/>
      </c>
      <c r="G591" s="169" t="s">
        <v>1534</v>
      </c>
      <c r="H591" s="169" t="s">
        <v>2564</v>
      </c>
      <c r="I591" s="169" t="s">
        <v>2565</v>
      </c>
      <c r="J591" s="171"/>
    </row>
    <row r="592" spans="1:10" ht="19.5" customHeight="1">
      <c r="A592" s="167" t="s">
        <v>2617</v>
      </c>
      <c r="B592" s="168" t="str">
        <f>RIGHT("a12035751",LEN("a12035751")-1)</f>
        <v>12035751</v>
      </c>
      <c r="C592" s="169" t="s">
        <v>2618</v>
      </c>
      <c r="D592" s="170">
        <v>32717</v>
      </c>
      <c r="E592" s="169" t="s">
        <v>1533</v>
      </c>
      <c r="F592" s="168">
        <f t="shared" si="9"/>
      </c>
      <c r="G592" s="169" t="s">
        <v>1534</v>
      </c>
      <c r="H592" s="169" t="s">
        <v>2564</v>
      </c>
      <c r="I592" s="169" t="s">
        <v>2619</v>
      </c>
      <c r="J592" s="171"/>
    </row>
    <row r="593" spans="1:10" ht="19.5" customHeight="1">
      <c r="A593" s="167" t="s">
        <v>2620</v>
      </c>
      <c r="B593" s="168" t="str">
        <f>RIGHT("a12035752",LEN("a12035752")-1)</f>
        <v>12035752</v>
      </c>
      <c r="C593" s="169" t="s">
        <v>2621</v>
      </c>
      <c r="D593" s="170">
        <v>30349</v>
      </c>
      <c r="E593" s="169" t="s">
        <v>95</v>
      </c>
      <c r="F593" s="168">
        <f t="shared" si="9"/>
      </c>
      <c r="G593" s="169" t="s">
        <v>1534</v>
      </c>
      <c r="H593" s="169" t="s">
        <v>2564</v>
      </c>
      <c r="I593" s="169" t="s">
        <v>2619</v>
      </c>
      <c r="J593" s="171"/>
    </row>
    <row r="594" spans="1:10" ht="19.5" customHeight="1">
      <c r="A594" s="167" t="s">
        <v>2622</v>
      </c>
      <c r="B594" s="168" t="str">
        <f>RIGHT("a12035753",LEN("a12035753")-1)</f>
        <v>12035753</v>
      </c>
      <c r="C594" s="169" t="s">
        <v>2623</v>
      </c>
      <c r="D594" s="170">
        <v>31097</v>
      </c>
      <c r="E594" s="169" t="s">
        <v>1533</v>
      </c>
      <c r="F594" s="168">
        <f t="shared" si="9"/>
      </c>
      <c r="G594" s="169" t="s">
        <v>1534</v>
      </c>
      <c r="H594" s="169" t="s">
        <v>2564</v>
      </c>
      <c r="I594" s="169" t="s">
        <v>2619</v>
      </c>
      <c r="J594" s="171"/>
    </row>
    <row r="595" spans="1:10" ht="19.5" customHeight="1">
      <c r="A595" s="167" t="s">
        <v>2624</v>
      </c>
      <c r="B595" s="168" t="str">
        <f>RIGHT("a12035754",LEN("a12035754")-1)</f>
        <v>12035754</v>
      </c>
      <c r="C595" s="169" t="s">
        <v>2625</v>
      </c>
      <c r="D595" s="170">
        <v>32774</v>
      </c>
      <c r="E595" s="169" t="s">
        <v>95</v>
      </c>
      <c r="F595" s="168">
        <f t="shared" si="9"/>
      </c>
      <c r="G595" s="169" t="s">
        <v>1534</v>
      </c>
      <c r="H595" s="169" t="s">
        <v>2564</v>
      </c>
      <c r="I595" s="169" t="s">
        <v>2619</v>
      </c>
      <c r="J595" s="171"/>
    </row>
    <row r="596" spans="1:10" ht="19.5" customHeight="1">
      <c r="A596" s="167" t="s">
        <v>2626</v>
      </c>
      <c r="B596" s="168" t="str">
        <f>RIGHT("a12035755",LEN("a12035755")-1)</f>
        <v>12035755</v>
      </c>
      <c r="C596" s="169" t="s">
        <v>2627</v>
      </c>
      <c r="D596" s="170">
        <v>32254</v>
      </c>
      <c r="E596" s="169" t="s">
        <v>1533</v>
      </c>
      <c r="F596" s="168">
        <f t="shared" si="9"/>
      </c>
      <c r="G596" s="169" t="s">
        <v>1534</v>
      </c>
      <c r="H596" s="169" t="s">
        <v>2564</v>
      </c>
      <c r="I596" s="169" t="s">
        <v>2619</v>
      </c>
      <c r="J596" s="171"/>
    </row>
    <row r="597" spans="1:10" ht="19.5" customHeight="1">
      <c r="A597" s="167" t="s">
        <v>2628</v>
      </c>
      <c r="B597" s="168" t="str">
        <f>RIGHT("a12035756",LEN("a12035756")-1)</f>
        <v>12035756</v>
      </c>
      <c r="C597" s="169" t="s">
        <v>2629</v>
      </c>
      <c r="D597" s="170">
        <v>25158</v>
      </c>
      <c r="E597" s="169" t="s">
        <v>95</v>
      </c>
      <c r="F597" s="168">
        <f t="shared" si="9"/>
      </c>
      <c r="G597" s="169" t="s">
        <v>1534</v>
      </c>
      <c r="H597" s="169" t="s">
        <v>2564</v>
      </c>
      <c r="I597" s="169" t="s">
        <v>2619</v>
      </c>
      <c r="J597" s="171"/>
    </row>
    <row r="598" spans="1:10" ht="19.5" customHeight="1">
      <c r="A598" s="167" t="s">
        <v>2630</v>
      </c>
      <c r="B598" s="168" t="str">
        <f>RIGHT("a12035757",LEN("a12035757")-1)</f>
        <v>12035757</v>
      </c>
      <c r="C598" s="169" t="s">
        <v>2631</v>
      </c>
      <c r="D598" s="170">
        <v>32849</v>
      </c>
      <c r="E598" s="169" t="s">
        <v>1533</v>
      </c>
      <c r="F598" s="168">
        <f t="shared" si="9"/>
      </c>
      <c r="G598" s="169" t="s">
        <v>1534</v>
      </c>
      <c r="H598" s="169" t="s">
        <v>2564</v>
      </c>
      <c r="I598" s="169" t="s">
        <v>2619</v>
      </c>
      <c r="J598" s="171"/>
    </row>
    <row r="599" spans="1:10" ht="19.5" customHeight="1">
      <c r="A599" s="167" t="s">
        <v>2632</v>
      </c>
      <c r="B599" s="168" t="str">
        <f>RIGHT("a12035758",LEN("a12035758")-1)</f>
        <v>12035758</v>
      </c>
      <c r="C599" s="169" t="s">
        <v>2633</v>
      </c>
      <c r="D599" s="170">
        <v>24637</v>
      </c>
      <c r="E599" s="169" t="s">
        <v>1533</v>
      </c>
      <c r="F599" s="168">
        <f t="shared" si="9"/>
      </c>
      <c r="G599" s="169" t="s">
        <v>1534</v>
      </c>
      <c r="H599" s="169" t="s">
        <v>2564</v>
      </c>
      <c r="I599" s="169" t="s">
        <v>2619</v>
      </c>
      <c r="J599" s="171"/>
    </row>
    <row r="600" spans="1:10" ht="19.5" customHeight="1">
      <c r="A600" s="167" t="s">
        <v>2634</v>
      </c>
      <c r="B600" s="168" t="str">
        <f>RIGHT("a12035759",LEN("a12035759")-1)</f>
        <v>12035759</v>
      </c>
      <c r="C600" s="169" t="s">
        <v>2635</v>
      </c>
      <c r="D600" s="170">
        <v>28834</v>
      </c>
      <c r="E600" s="169" t="s">
        <v>95</v>
      </c>
      <c r="F600" s="168">
        <f t="shared" si="9"/>
      </c>
      <c r="G600" s="169" t="s">
        <v>1534</v>
      </c>
      <c r="H600" s="169" t="s">
        <v>2564</v>
      </c>
      <c r="I600" s="169" t="s">
        <v>2619</v>
      </c>
      <c r="J600" s="171"/>
    </row>
    <row r="601" spans="1:10" ht="19.5" customHeight="1">
      <c r="A601" s="167" t="s">
        <v>2636</v>
      </c>
      <c r="B601" s="168" t="str">
        <f>RIGHT("a12035923",LEN("a12035923")-1)</f>
        <v>12035923</v>
      </c>
      <c r="C601" s="169" t="s">
        <v>2637</v>
      </c>
      <c r="D601" s="170">
        <v>27929</v>
      </c>
      <c r="E601" s="169" t="s">
        <v>95</v>
      </c>
      <c r="F601" s="168">
        <f t="shared" si="9"/>
      </c>
      <c r="G601" s="169" t="s">
        <v>1534</v>
      </c>
      <c r="H601" s="169" t="s">
        <v>2564</v>
      </c>
      <c r="I601" s="169" t="s">
        <v>2619</v>
      </c>
      <c r="J601" s="171"/>
    </row>
    <row r="602" spans="1:10" ht="19.5" customHeight="1">
      <c r="A602" s="167" t="s">
        <v>2638</v>
      </c>
      <c r="B602" s="168" t="str">
        <f>RIGHT("a12035761",LEN("a12035761")-1)</f>
        <v>12035761</v>
      </c>
      <c r="C602" s="169" t="s">
        <v>2639</v>
      </c>
      <c r="D602" s="170">
        <v>29682</v>
      </c>
      <c r="E602" s="169" t="s">
        <v>1533</v>
      </c>
      <c r="F602" s="168">
        <f t="shared" si="9"/>
      </c>
      <c r="G602" s="169" t="s">
        <v>1534</v>
      </c>
      <c r="H602" s="169" t="s">
        <v>2564</v>
      </c>
      <c r="I602" s="169" t="s">
        <v>2619</v>
      </c>
      <c r="J602" s="171"/>
    </row>
    <row r="603" spans="1:10" ht="19.5" customHeight="1">
      <c r="A603" s="167" t="s">
        <v>2640</v>
      </c>
      <c r="B603" s="168" t="str">
        <f>RIGHT("a12035760",LEN("a12035760")-1)</f>
        <v>12035760</v>
      </c>
      <c r="C603" s="169" t="s">
        <v>2641</v>
      </c>
      <c r="D603" s="170">
        <v>30493</v>
      </c>
      <c r="E603" s="169" t="s">
        <v>95</v>
      </c>
      <c r="F603" s="168">
        <f t="shared" si="9"/>
      </c>
      <c r="G603" s="169" t="s">
        <v>1534</v>
      </c>
      <c r="H603" s="169" t="s">
        <v>2564</v>
      </c>
      <c r="I603" s="169" t="s">
        <v>2619</v>
      </c>
      <c r="J603" s="171"/>
    </row>
    <row r="604" spans="1:10" ht="19.5" customHeight="1">
      <c r="A604" s="167" t="s">
        <v>2642</v>
      </c>
      <c r="B604" s="168" t="str">
        <f>RIGHT("a12035762",LEN("a12035762")-1)</f>
        <v>12035762</v>
      </c>
      <c r="C604" s="169" t="s">
        <v>2643</v>
      </c>
      <c r="D604" s="170">
        <v>29992</v>
      </c>
      <c r="E604" s="169" t="s">
        <v>1533</v>
      </c>
      <c r="F604" s="168">
        <f t="shared" si="9"/>
      </c>
      <c r="G604" s="169" t="s">
        <v>1534</v>
      </c>
      <c r="H604" s="169" t="s">
        <v>2564</v>
      </c>
      <c r="I604" s="169" t="s">
        <v>2619</v>
      </c>
      <c r="J604" s="171"/>
    </row>
    <row r="605" spans="1:10" ht="19.5" customHeight="1">
      <c r="A605" s="167" t="s">
        <v>2644</v>
      </c>
      <c r="B605" s="168" t="str">
        <f>RIGHT("a12035555",LEN("a12035555")-1)</f>
        <v>12035555</v>
      </c>
      <c r="C605" s="169" t="s">
        <v>2645</v>
      </c>
      <c r="D605" s="170">
        <v>33013</v>
      </c>
      <c r="E605" s="169" t="s">
        <v>1533</v>
      </c>
      <c r="F605" s="168">
        <f t="shared" si="9"/>
      </c>
      <c r="G605" s="169" t="s">
        <v>1534</v>
      </c>
      <c r="H605" s="169" t="s">
        <v>2646</v>
      </c>
      <c r="I605" s="169" t="s">
        <v>2647</v>
      </c>
      <c r="J605" s="171"/>
    </row>
    <row r="606" spans="1:10" ht="19.5" customHeight="1">
      <c r="A606" s="167" t="s">
        <v>2648</v>
      </c>
      <c r="B606" s="168" t="str">
        <f>RIGHT("a12035543",LEN("a12035543")-1)</f>
        <v>12035543</v>
      </c>
      <c r="C606" s="169" t="s">
        <v>2649</v>
      </c>
      <c r="D606" s="170">
        <v>29490</v>
      </c>
      <c r="E606" s="169" t="s">
        <v>95</v>
      </c>
      <c r="F606" s="168">
        <f t="shared" si="9"/>
      </c>
      <c r="G606" s="169" t="s">
        <v>1534</v>
      </c>
      <c r="H606" s="169" t="s">
        <v>2646</v>
      </c>
      <c r="I606" s="169" t="s">
        <v>2647</v>
      </c>
      <c r="J606" s="171"/>
    </row>
    <row r="607" spans="1:10" ht="19.5" customHeight="1">
      <c r="A607" s="167" t="s">
        <v>2650</v>
      </c>
      <c r="B607" s="168" t="str">
        <f>RIGHT("a12035550",LEN("a12035550")-1)</f>
        <v>12035550</v>
      </c>
      <c r="C607" s="169" t="s">
        <v>2651</v>
      </c>
      <c r="D607" s="170">
        <v>28493</v>
      </c>
      <c r="E607" s="169" t="s">
        <v>95</v>
      </c>
      <c r="F607" s="168">
        <f t="shared" si="9"/>
      </c>
      <c r="G607" s="169" t="s">
        <v>1534</v>
      </c>
      <c r="H607" s="169" t="s">
        <v>2646</v>
      </c>
      <c r="I607" s="169" t="s">
        <v>2647</v>
      </c>
      <c r="J607" s="171"/>
    </row>
    <row r="608" spans="1:10" ht="19.5" customHeight="1">
      <c r="A608" s="167" t="s">
        <v>2652</v>
      </c>
      <c r="B608" s="168" t="str">
        <f>RIGHT("a12035551",LEN("a12035551")-1)</f>
        <v>12035551</v>
      </c>
      <c r="C608" s="169" t="s">
        <v>2653</v>
      </c>
      <c r="D608" s="170">
        <v>27099</v>
      </c>
      <c r="E608" s="169" t="s">
        <v>1533</v>
      </c>
      <c r="F608" s="168">
        <f t="shared" si="9"/>
      </c>
      <c r="G608" s="169" t="s">
        <v>1534</v>
      </c>
      <c r="H608" s="169" t="s">
        <v>2646</v>
      </c>
      <c r="I608" s="169" t="s">
        <v>2647</v>
      </c>
      <c r="J608" s="171"/>
    </row>
    <row r="609" spans="1:10" ht="19.5" customHeight="1">
      <c r="A609" s="167" t="s">
        <v>2654</v>
      </c>
      <c r="B609" s="168" t="str">
        <f>RIGHT("a12035100",LEN("a12035100")-1)</f>
        <v>12035100</v>
      </c>
      <c r="C609" s="169" t="s">
        <v>2655</v>
      </c>
      <c r="D609" s="170">
        <v>32682</v>
      </c>
      <c r="E609" s="169" t="s">
        <v>1533</v>
      </c>
      <c r="F609" s="168">
        <f t="shared" si="9"/>
      </c>
      <c r="G609" s="169" t="s">
        <v>1534</v>
      </c>
      <c r="H609" s="169" t="s">
        <v>2646</v>
      </c>
      <c r="I609" s="169" t="s">
        <v>2647</v>
      </c>
      <c r="J609" s="171"/>
    </row>
    <row r="610" spans="1:10" ht="19.5" customHeight="1">
      <c r="A610" s="167" t="s">
        <v>2656</v>
      </c>
      <c r="B610" s="168" t="str">
        <f>RIGHT("a12035099",LEN("a12035099")-1)</f>
        <v>12035099</v>
      </c>
      <c r="C610" s="169" t="s">
        <v>2657</v>
      </c>
      <c r="D610" s="170">
        <v>23734</v>
      </c>
      <c r="E610" s="169" t="s">
        <v>95</v>
      </c>
      <c r="F610" s="168">
        <f t="shared" si="9"/>
      </c>
      <c r="G610" s="169" t="s">
        <v>1534</v>
      </c>
      <c r="H610" s="169" t="s">
        <v>2646</v>
      </c>
      <c r="I610" s="169" t="s">
        <v>2647</v>
      </c>
      <c r="J610" s="171"/>
    </row>
    <row r="611" spans="1:10" ht="19.5" customHeight="1">
      <c r="A611" s="167" t="s">
        <v>2658</v>
      </c>
      <c r="B611" s="168" t="str">
        <f>RIGHT("a12035544",LEN("a12035544")-1)</f>
        <v>12035544</v>
      </c>
      <c r="C611" s="169" t="s">
        <v>2659</v>
      </c>
      <c r="D611" s="170">
        <v>27072</v>
      </c>
      <c r="E611" s="169" t="s">
        <v>1533</v>
      </c>
      <c r="F611" s="168">
        <f t="shared" si="9"/>
      </c>
      <c r="G611" s="169" t="s">
        <v>1534</v>
      </c>
      <c r="H611" s="169" t="s">
        <v>2646</v>
      </c>
      <c r="I611" s="169" t="s">
        <v>2647</v>
      </c>
      <c r="J611" s="171"/>
    </row>
    <row r="612" spans="1:10" ht="19.5" customHeight="1">
      <c r="A612" s="167" t="s">
        <v>2660</v>
      </c>
      <c r="B612" s="168" t="str">
        <f>RIGHT("a12035538",LEN("a12035538")-1)</f>
        <v>12035538</v>
      </c>
      <c r="C612" s="169" t="s">
        <v>2661</v>
      </c>
      <c r="D612" s="170">
        <v>28620</v>
      </c>
      <c r="E612" s="169" t="s">
        <v>1533</v>
      </c>
      <c r="F612" s="168">
        <f t="shared" si="9"/>
      </c>
      <c r="G612" s="169" t="s">
        <v>1534</v>
      </c>
      <c r="H612" s="169" t="s">
        <v>2646</v>
      </c>
      <c r="I612" s="169" t="s">
        <v>2647</v>
      </c>
      <c r="J612" s="171"/>
    </row>
    <row r="613" spans="1:10" ht="19.5" customHeight="1">
      <c r="A613" s="167" t="s">
        <v>2662</v>
      </c>
      <c r="B613" s="168" t="str">
        <f>RIGHT("a12035552",LEN("a12035552")-1)</f>
        <v>12035552</v>
      </c>
      <c r="C613" s="169" t="s">
        <v>2663</v>
      </c>
      <c r="D613" s="170">
        <v>28799</v>
      </c>
      <c r="E613" s="169" t="s">
        <v>1533</v>
      </c>
      <c r="F613" s="168">
        <f t="shared" si="9"/>
      </c>
      <c r="G613" s="169" t="s">
        <v>1534</v>
      </c>
      <c r="H613" s="169" t="s">
        <v>2646</v>
      </c>
      <c r="I613" s="169" t="s">
        <v>2647</v>
      </c>
      <c r="J613" s="171"/>
    </row>
    <row r="614" spans="1:10" ht="19.5" customHeight="1">
      <c r="A614" s="167" t="s">
        <v>2664</v>
      </c>
      <c r="B614" s="168" t="str">
        <f>RIGHT("a12035545",LEN("a12035545")-1)</f>
        <v>12035545</v>
      </c>
      <c r="C614" s="169" t="s">
        <v>2665</v>
      </c>
      <c r="D614" s="170">
        <v>29469</v>
      </c>
      <c r="E614" s="169" t="s">
        <v>1533</v>
      </c>
      <c r="F614" s="168">
        <f t="shared" si="9"/>
      </c>
      <c r="G614" s="169" t="s">
        <v>1534</v>
      </c>
      <c r="H614" s="169" t="s">
        <v>2646</v>
      </c>
      <c r="I614" s="169" t="s">
        <v>2647</v>
      </c>
      <c r="J614" s="171"/>
    </row>
    <row r="615" spans="1:10" ht="19.5" customHeight="1">
      <c r="A615" s="167" t="s">
        <v>2666</v>
      </c>
      <c r="B615" s="168" t="str">
        <f>RIGHT("a12035557",LEN("a12035557")-1)</f>
        <v>12035557</v>
      </c>
      <c r="C615" s="169" t="s">
        <v>2667</v>
      </c>
      <c r="D615" s="170">
        <v>32927</v>
      </c>
      <c r="E615" s="169" t="s">
        <v>1533</v>
      </c>
      <c r="F615" s="168">
        <f t="shared" si="9"/>
      </c>
      <c r="G615" s="169" t="s">
        <v>1534</v>
      </c>
      <c r="H615" s="169" t="s">
        <v>2646</v>
      </c>
      <c r="I615" s="169" t="s">
        <v>2647</v>
      </c>
      <c r="J615" s="171"/>
    </row>
    <row r="616" spans="1:10" ht="19.5" customHeight="1">
      <c r="A616" s="167" t="s">
        <v>2668</v>
      </c>
      <c r="B616" s="168" t="str">
        <f>RIGHT("a12035539",LEN("a12035539")-1)</f>
        <v>12035539</v>
      </c>
      <c r="C616" s="169" t="s">
        <v>2669</v>
      </c>
      <c r="D616" s="170">
        <v>28133</v>
      </c>
      <c r="E616" s="169" t="s">
        <v>95</v>
      </c>
      <c r="F616" s="168">
        <f t="shared" si="9"/>
      </c>
      <c r="G616" s="169" t="s">
        <v>1534</v>
      </c>
      <c r="H616" s="169" t="s">
        <v>2646</v>
      </c>
      <c r="I616" s="169" t="s">
        <v>2647</v>
      </c>
      <c r="J616" s="171"/>
    </row>
    <row r="617" spans="1:10" ht="19.5" customHeight="1">
      <c r="A617" s="167" t="s">
        <v>2670</v>
      </c>
      <c r="B617" s="168" t="str">
        <f>RIGHT("a12035548",LEN("a12035548")-1)</f>
        <v>12035548</v>
      </c>
      <c r="C617" s="169" t="s">
        <v>2671</v>
      </c>
      <c r="D617" s="171"/>
      <c r="E617" s="169" t="s">
        <v>1533</v>
      </c>
      <c r="F617" s="168">
        <f t="shared" si="9"/>
      </c>
      <c r="G617" s="169" t="s">
        <v>1534</v>
      </c>
      <c r="H617" s="169" t="s">
        <v>2646</v>
      </c>
      <c r="I617" s="169" t="s">
        <v>2647</v>
      </c>
      <c r="J617" s="171"/>
    </row>
    <row r="618" spans="1:10" ht="19.5" customHeight="1">
      <c r="A618" s="167" t="s">
        <v>2672</v>
      </c>
      <c r="B618" s="168" t="str">
        <f>RIGHT("a12035542",LEN("a12035542")-1)</f>
        <v>12035542</v>
      </c>
      <c r="C618" s="169" t="s">
        <v>2673</v>
      </c>
      <c r="D618" s="170">
        <v>31345</v>
      </c>
      <c r="E618" s="169" t="s">
        <v>1533</v>
      </c>
      <c r="F618" s="168">
        <f t="shared" si="9"/>
      </c>
      <c r="G618" s="169" t="s">
        <v>1534</v>
      </c>
      <c r="H618" s="169" t="s">
        <v>2646</v>
      </c>
      <c r="I618" s="169" t="s">
        <v>2647</v>
      </c>
      <c r="J618" s="171"/>
    </row>
    <row r="619" spans="1:10" ht="19.5" customHeight="1">
      <c r="A619" s="167" t="s">
        <v>2674</v>
      </c>
      <c r="B619" s="168" t="str">
        <f>RIGHT("a12035556",LEN("a12035556")-1)</f>
        <v>12035556</v>
      </c>
      <c r="C619" s="169" t="s">
        <v>2675</v>
      </c>
      <c r="D619" s="170">
        <v>32982</v>
      </c>
      <c r="E619" s="169" t="s">
        <v>1533</v>
      </c>
      <c r="F619" s="168">
        <f t="shared" si="9"/>
      </c>
      <c r="G619" s="169" t="s">
        <v>1534</v>
      </c>
      <c r="H619" s="169" t="s">
        <v>2646</v>
      </c>
      <c r="I619" s="169" t="s">
        <v>2647</v>
      </c>
      <c r="J619" s="171"/>
    </row>
    <row r="620" spans="1:10" ht="19.5" customHeight="1">
      <c r="A620" s="167" t="s">
        <v>2676</v>
      </c>
      <c r="B620" s="168" t="str">
        <f>RIGHT("a12035553",LEN("a12035553")-1)</f>
        <v>12035553</v>
      </c>
      <c r="C620" s="169" t="s">
        <v>2677</v>
      </c>
      <c r="D620" s="170">
        <v>31886</v>
      </c>
      <c r="E620" s="169" t="s">
        <v>1533</v>
      </c>
      <c r="F620" s="168">
        <f t="shared" si="9"/>
      </c>
      <c r="G620" s="169" t="s">
        <v>1534</v>
      </c>
      <c r="H620" s="169" t="s">
        <v>2646</v>
      </c>
      <c r="I620" s="169" t="s">
        <v>2647</v>
      </c>
      <c r="J620" s="171"/>
    </row>
    <row r="621" spans="1:10" ht="19.5" customHeight="1">
      <c r="A621" s="167" t="s">
        <v>2678</v>
      </c>
      <c r="B621" s="168" t="str">
        <f>RIGHT("a12035101",LEN("a12035101")-1)</f>
        <v>12035101</v>
      </c>
      <c r="C621" s="169" t="s">
        <v>2679</v>
      </c>
      <c r="D621" s="170">
        <v>29498</v>
      </c>
      <c r="E621" s="169" t="s">
        <v>95</v>
      </c>
      <c r="F621" s="168">
        <f t="shared" si="9"/>
      </c>
      <c r="G621" s="169" t="s">
        <v>1534</v>
      </c>
      <c r="H621" s="169" t="s">
        <v>2646</v>
      </c>
      <c r="I621" s="169" t="s">
        <v>2647</v>
      </c>
      <c r="J621" s="171"/>
    </row>
    <row r="622" spans="1:10" ht="19.5" customHeight="1">
      <c r="A622" s="167" t="s">
        <v>2680</v>
      </c>
      <c r="B622" s="168" t="str">
        <f>RIGHT("a12035540",LEN("a12035540")-1)</f>
        <v>12035540</v>
      </c>
      <c r="C622" s="169" t="s">
        <v>2681</v>
      </c>
      <c r="D622" s="170">
        <v>26166</v>
      </c>
      <c r="E622" s="169" t="s">
        <v>1533</v>
      </c>
      <c r="F622" s="168">
        <f t="shared" si="9"/>
      </c>
      <c r="G622" s="169" t="s">
        <v>1534</v>
      </c>
      <c r="H622" s="169" t="s">
        <v>2646</v>
      </c>
      <c r="I622" s="169" t="s">
        <v>2647</v>
      </c>
      <c r="J622" s="171"/>
    </row>
    <row r="623" spans="1:10" ht="19.5" customHeight="1">
      <c r="A623" s="167" t="s">
        <v>2682</v>
      </c>
      <c r="B623" s="168" t="str">
        <f>RIGHT("a12035546",LEN("a12035546")-1)</f>
        <v>12035546</v>
      </c>
      <c r="C623" s="169" t="s">
        <v>2683</v>
      </c>
      <c r="D623" s="170">
        <v>30374</v>
      </c>
      <c r="E623" s="169" t="s">
        <v>95</v>
      </c>
      <c r="F623" s="168">
        <f t="shared" si="9"/>
      </c>
      <c r="G623" s="169" t="s">
        <v>1534</v>
      </c>
      <c r="H623" s="169" t="s">
        <v>2646</v>
      </c>
      <c r="I623" s="169" t="s">
        <v>2647</v>
      </c>
      <c r="J623" s="171"/>
    </row>
    <row r="624" spans="1:10" ht="19.5" customHeight="1">
      <c r="A624" s="167" t="s">
        <v>2684</v>
      </c>
      <c r="B624" s="168" t="str">
        <f>RIGHT("a12035541",LEN("a12035541")-1)</f>
        <v>12035541</v>
      </c>
      <c r="C624" s="169" t="s">
        <v>2685</v>
      </c>
      <c r="D624" s="170">
        <v>31621</v>
      </c>
      <c r="E624" s="169" t="s">
        <v>1533</v>
      </c>
      <c r="F624" s="168">
        <f t="shared" si="9"/>
      </c>
      <c r="G624" s="169" t="s">
        <v>1534</v>
      </c>
      <c r="H624" s="169" t="s">
        <v>2646</v>
      </c>
      <c r="I624" s="169" t="s">
        <v>2647</v>
      </c>
      <c r="J624" s="171"/>
    </row>
    <row r="625" spans="1:10" ht="19.5" customHeight="1">
      <c r="A625" s="167" t="s">
        <v>2686</v>
      </c>
      <c r="B625" s="168" t="str">
        <f>RIGHT("a12035549",LEN("a12035549")-1)</f>
        <v>12035549</v>
      </c>
      <c r="C625" s="169" t="s">
        <v>2687</v>
      </c>
      <c r="D625" s="170">
        <v>31357</v>
      </c>
      <c r="E625" s="169" t="s">
        <v>95</v>
      </c>
      <c r="F625" s="168">
        <f t="shared" si="9"/>
      </c>
      <c r="G625" s="169" t="s">
        <v>1534</v>
      </c>
      <c r="H625" s="169" t="s">
        <v>2646</v>
      </c>
      <c r="I625" s="169" t="s">
        <v>2647</v>
      </c>
      <c r="J625" s="171"/>
    </row>
    <row r="626" spans="1:10" ht="19.5" customHeight="1">
      <c r="A626" s="167" t="s">
        <v>2688</v>
      </c>
      <c r="B626" s="168" t="str">
        <f>RIGHT("a12035102",LEN("a12035102")-1)</f>
        <v>12035102</v>
      </c>
      <c r="C626" s="169" t="s">
        <v>2689</v>
      </c>
      <c r="D626" s="170">
        <v>32968</v>
      </c>
      <c r="E626" s="169" t="s">
        <v>1533</v>
      </c>
      <c r="F626" s="168">
        <f t="shared" si="9"/>
      </c>
      <c r="G626" s="169" t="s">
        <v>1534</v>
      </c>
      <c r="H626" s="169" t="s">
        <v>2646</v>
      </c>
      <c r="I626" s="169" t="s">
        <v>2647</v>
      </c>
      <c r="J626" s="171"/>
    </row>
    <row r="627" spans="1:10" ht="19.5" customHeight="1">
      <c r="A627" s="167" t="s">
        <v>2690</v>
      </c>
      <c r="B627" s="168" t="str">
        <f>RIGHT("a12035547",LEN("a12035547")-1)</f>
        <v>12035547</v>
      </c>
      <c r="C627" s="169" t="s">
        <v>2691</v>
      </c>
      <c r="D627" s="170">
        <v>32777</v>
      </c>
      <c r="E627" s="169" t="s">
        <v>1533</v>
      </c>
      <c r="F627" s="168">
        <f t="shared" si="9"/>
      </c>
      <c r="G627" s="169" t="s">
        <v>1534</v>
      </c>
      <c r="H627" s="169" t="s">
        <v>2646</v>
      </c>
      <c r="I627" s="169" t="s">
        <v>2647</v>
      </c>
      <c r="J627" s="171"/>
    </row>
    <row r="628" spans="1:10" ht="19.5" customHeight="1">
      <c r="A628" s="167" t="s">
        <v>2692</v>
      </c>
      <c r="B628" s="168" t="str">
        <f>RIGHT("a12035554",LEN("a12035554")-1)</f>
        <v>12035554</v>
      </c>
      <c r="C628" s="169" t="s">
        <v>2208</v>
      </c>
      <c r="D628" s="170">
        <v>31908</v>
      </c>
      <c r="E628" s="169" t="s">
        <v>1533</v>
      </c>
      <c r="F628" s="168">
        <f t="shared" si="9"/>
      </c>
      <c r="G628" s="169" t="s">
        <v>1534</v>
      </c>
      <c r="H628" s="169" t="s">
        <v>2646</v>
      </c>
      <c r="I628" s="169" t="s">
        <v>2647</v>
      </c>
      <c r="J628" s="171"/>
    </row>
    <row r="629" spans="1:10" ht="19.5" customHeight="1">
      <c r="A629" s="167" t="s">
        <v>2693</v>
      </c>
      <c r="B629" s="168" t="str">
        <f>RIGHT("a12035763",LEN("a12035763")-1)</f>
        <v>12035763</v>
      </c>
      <c r="C629" s="169" t="s">
        <v>2694</v>
      </c>
      <c r="D629" s="170">
        <v>26238</v>
      </c>
      <c r="E629" s="169" t="s">
        <v>95</v>
      </c>
      <c r="F629" s="168">
        <f t="shared" si="9"/>
      </c>
      <c r="G629" s="169" t="s">
        <v>1534</v>
      </c>
      <c r="H629" s="169" t="s">
        <v>2646</v>
      </c>
      <c r="I629" s="169" t="s">
        <v>2695</v>
      </c>
      <c r="J629" s="171"/>
    </row>
    <row r="630" spans="1:10" ht="19.5" customHeight="1">
      <c r="A630" s="167" t="s">
        <v>2696</v>
      </c>
      <c r="B630" s="168" t="str">
        <f>RIGHT("a12035764",LEN("a12035764")-1)</f>
        <v>12035764</v>
      </c>
      <c r="C630" s="169" t="s">
        <v>2697</v>
      </c>
      <c r="D630" s="170">
        <v>27098</v>
      </c>
      <c r="E630" s="169" t="s">
        <v>95</v>
      </c>
      <c r="F630" s="168">
        <f t="shared" si="9"/>
      </c>
      <c r="G630" s="169" t="s">
        <v>1534</v>
      </c>
      <c r="H630" s="169" t="s">
        <v>2646</v>
      </c>
      <c r="I630" s="169" t="s">
        <v>2695</v>
      </c>
      <c r="J630" s="171"/>
    </row>
    <row r="631" spans="1:10" ht="19.5" customHeight="1">
      <c r="A631" s="167" t="s">
        <v>2698</v>
      </c>
      <c r="B631" s="168" t="str">
        <f>RIGHT("a12035765",LEN("a12035765")-1)</f>
        <v>12035765</v>
      </c>
      <c r="C631" s="169" t="s">
        <v>2699</v>
      </c>
      <c r="D631" s="170">
        <v>28278</v>
      </c>
      <c r="E631" s="169" t="s">
        <v>95</v>
      </c>
      <c r="F631" s="168">
        <f t="shared" si="9"/>
      </c>
      <c r="G631" s="169" t="s">
        <v>1534</v>
      </c>
      <c r="H631" s="169" t="s">
        <v>2646</v>
      </c>
      <c r="I631" s="169" t="s">
        <v>2695</v>
      </c>
      <c r="J631" s="171"/>
    </row>
    <row r="632" spans="1:10" ht="19.5" customHeight="1">
      <c r="A632" s="167" t="s">
        <v>2700</v>
      </c>
      <c r="B632" s="168" t="str">
        <f>RIGHT("a12035766",LEN("a12035766")-1)</f>
        <v>12035766</v>
      </c>
      <c r="C632" s="169" t="s">
        <v>2701</v>
      </c>
      <c r="D632" s="170">
        <v>23017</v>
      </c>
      <c r="E632" s="169" t="s">
        <v>95</v>
      </c>
      <c r="F632" s="168">
        <f t="shared" si="9"/>
      </c>
      <c r="G632" s="169" t="s">
        <v>1534</v>
      </c>
      <c r="H632" s="169" t="s">
        <v>2646</v>
      </c>
      <c r="I632" s="169" t="s">
        <v>2695</v>
      </c>
      <c r="J632" s="171"/>
    </row>
    <row r="633" spans="1:10" ht="19.5" customHeight="1">
      <c r="A633" s="167" t="s">
        <v>2702</v>
      </c>
      <c r="B633" s="168" t="str">
        <f>RIGHT("a12035767",LEN("a12035767")-1)</f>
        <v>12035767</v>
      </c>
      <c r="C633" s="169" t="s">
        <v>2703</v>
      </c>
      <c r="D633" s="170">
        <v>31886</v>
      </c>
      <c r="E633" s="169" t="s">
        <v>95</v>
      </c>
      <c r="F633" s="168">
        <f t="shared" si="9"/>
      </c>
      <c r="G633" s="169" t="s">
        <v>1534</v>
      </c>
      <c r="H633" s="169" t="s">
        <v>2646</v>
      </c>
      <c r="I633" s="169" t="s">
        <v>2695</v>
      </c>
      <c r="J633" s="171"/>
    </row>
    <row r="634" spans="1:10" ht="19.5" customHeight="1">
      <c r="A634" s="167" t="s">
        <v>2704</v>
      </c>
      <c r="B634" s="168" t="str">
        <f>RIGHT("a12035768",LEN("a12035768")-1)</f>
        <v>12035768</v>
      </c>
      <c r="C634" s="169" t="s">
        <v>2705</v>
      </c>
      <c r="D634" s="170">
        <v>27710</v>
      </c>
      <c r="E634" s="169" t="s">
        <v>95</v>
      </c>
      <c r="F634" s="168">
        <f t="shared" si="9"/>
      </c>
      <c r="G634" s="169" t="s">
        <v>1534</v>
      </c>
      <c r="H634" s="169" t="s">
        <v>2646</v>
      </c>
      <c r="I634" s="169" t="s">
        <v>2695</v>
      </c>
      <c r="J634" s="171"/>
    </row>
    <row r="635" spans="1:10" ht="19.5" customHeight="1">
      <c r="A635" s="167" t="s">
        <v>2706</v>
      </c>
      <c r="B635" s="168" t="str">
        <f>RIGHT("a12035769",LEN("a12035769")-1)</f>
        <v>12035769</v>
      </c>
      <c r="C635" s="169" t="s">
        <v>2707</v>
      </c>
      <c r="D635" s="170">
        <v>28097</v>
      </c>
      <c r="E635" s="169" t="s">
        <v>95</v>
      </c>
      <c r="F635" s="168">
        <f t="shared" si="9"/>
      </c>
      <c r="G635" s="169" t="s">
        <v>1534</v>
      </c>
      <c r="H635" s="169" t="s">
        <v>2646</v>
      </c>
      <c r="I635" s="169" t="s">
        <v>2695</v>
      </c>
      <c r="J635" s="171"/>
    </row>
    <row r="636" spans="1:10" ht="19.5" customHeight="1">
      <c r="A636" s="167" t="s">
        <v>2708</v>
      </c>
      <c r="B636" s="168" t="str">
        <f>RIGHT("a12035770",LEN("a12035770")-1)</f>
        <v>12035770</v>
      </c>
      <c r="C636" s="169" t="s">
        <v>2709</v>
      </c>
      <c r="D636" s="170">
        <v>26615</v>
      </c>
      <c r="E636" s="169" t="s">
        <v>1533</v>
      </c>
      <c r="F636" s="168">
        <f t="shared" si="9"/>
      </c>
      <c r="G636" s="169" t="s">
        <v>1534</v>
      </c>
      <c r="H636" s="169" t="s">
        <v>2646</v>
      </c>
      <c r="I636" s="169" t="s">
        <v>2695</v>
      </c>
      <c r="J636" s="171"/>
    </row>
    <row r="637" spans="1:10" ht="19.5" customHeight="1">
      <c r="A637" s="167" t="s">
        <v>2710</v>
      </c>
      <c r="B637" s="168" t="str">
        <f>RIGHT("a12035771",LEN("a12035771")-1)</f>
        <v>12035771</v>
      </c>
      <c r="C637" s="169" t="s">
        <v>2711</v>
      </c>
      <c r="D637" s="170">
        <v>30363</v>
      </c>
      <c r="E637" s="169" t="s">
        <v>1533</v>
      </c>
      <c r="F637" s="168">
        <f t="shared" si="9"/>
      </c>
      <c r="G637" s="169" t="s">
        <v>1534</v>
      </c>
      <c r="H637" s="169" t="s">
        <v>2646</v>
      </c>
      <c r="I637" s="169" t="s">
        <v>2695</v>
      </c>
      <c r="J637" s="171"/>
    </row>
    <row r="638" spans="1:10" ht="19.5" customHeight="1">
      <c r="A638" s="167" t="s">
        <v>2712</v>
      </c>
      <c r="B638" s="168" t="str">
        <f>RIGHT("a12035772",LEN("a12035772")-1)</f>
        <v>12035772</v>
      </c>
      <c r="C638" s="169" t="s">
        <v>2713</v>
      </c>
      <c r="D638" s="170">
        <v>28108</v>
      </c>
      <c r="E638" s="169" t="s">
        <v>1533</v>
      </c>
      <c r="F638" s="168">
        <f t="shared" si="9"/>
      </c>
      <c r="G638" s="169" t="s">
        <v>1534</v>
      </c>
      <c r="H638" s="169" t="s">
        <v>2646</v>
      </c>
      <c r="I638" s="169" t="s">
        <v>2695</v>
      </c>
      <c r="J638" s="171"/>
    </row>
    <row r="639" spans="1:10" ht="19.5" customHeight="1">
      <c r="A639" s="167" t="s">
        <v>2714</v>
      </c>
      <c r="B639" s="168" t="str">
        <f>RIGHT("a12035773",LEN("a12035773")-1)</f>
        <v>12035773</v>
      </c>
      <c r="C639" s="169" t="s">
        <v>1887</v>
      </c>
      <c r="D639" s="170">
        <v>23471</v>
      </c>
      <c r="E639" s="169" t="s">
        <v>95</v>
      </c>
      <c r="F639" s="168">
        <f t="shared" si="9"/>
      </c>
      <c r="G639" s="169" t="s">
        <v>1534</v>
      </c>
      <c r="H639" s="169" t="s">
        <v>2646</v>
      </c>
      <c r="I639" s="169" t="s">
        <v>2695</v>
      </c>
      <c r="J639" s="171"/>
    </row>
    <row r="640" spans="1:10" ht="19.5" customHeight="1">
      <c r="A640" s="167" t="s">
        <v>2715</v>
      </c>
      <c r="B640" s="168" t="str">
        <f>RIGHT("a12035774",LEN("a12035774")-1)</f>
        <v>12035774</v>
      </c>
      <c r="C640" s="169" t="s">
        <v>2716</v>
      </c>
      <c r="D640" s="170">
        <v>25550</v>
      </c>
      <c r="E640" s="169" t="s">
        <v>95</v>
      </c>
      <c r="F640" s="168">
        <f t="shared" si="9"/>
      </c>
      <c r="G640" s="169" t="s">
        <v>1534</v>
      </c>
      <c r="H640" s="169" t="s">
        <v>2646</v>
      </c>
      <c r="I640" s="169" t="s">
        <v>2695</v>
      </c>
      <c r="J640" s="171"/>
    </row>
    <row r="641" spans="1:10" ht="19.5" customHeight="1">
      <c r="A641" s="167" t="s">
        <v>2717</v>
      </c>
      <c r="B641" s="168" t="str">
        <f>RIGHT("a12035775",LEN("a12035775")-1)</f>
        <v>12035775</v>
      </c>
      <c r="C641" s="169" t="s">
        <v>2718</v>
      </c>
      <c r="D641" s="170">
        <v>25698</v>
      </c>
      <c r="E641" s="169" t="s">
        <v>95</v>
      </c>
      <c r="F641" s="168">
        <f t="shared" si="9"/>
      </c>
      <c r="G641" s="169" t="s">
        <v>1534</v>
      </c>
      <c r="H641" s="169" t="s">
        <v>2646</v>
      </c>
      <c r="I641" s="169" t="s">
        <v>2695</v>
      </c>
      <c r="J641" s="171"/>
    </row>
    <row r="642" spans="1:10" ht="19.5" customHeight="1">
      <c r="A642" s="167" t="s">
        <v>2719</v>
      </c>
      <c r="B642" s="168" t="str">
        <f>RIGHT("a12035776",LEN("a12035776")-1)</f>
        <v>12035776</v>
      </c>
      <c r="C642" s="169" t="s">
        <v>2720</v>
      </c>
      <c r="D642" s="170">
        <v>28386</v>
      </c>
      <c r="E642" s="169" t="s">
        <v>95</v>
      </c>
      <c r="F642" s="168">
        <f aca="true" t="shared" si="10" ref="F642:F705">RIGHT("a",LEN("a")-1)</f>
      </c>
      <c r="G642" s="169" t="s">
        <v>1534</v>
      </c>
      <c r="H642" s="169" t="s">
        <v>2646</v>
      </c>
      <c r="I642" s="169" t="s">
        <v>2695</v>
      </c>
      <c r="J642" s="171"/>
    </row>
    <row r="643" spans="1:10" ht="19.5" customHeight="1">
      <c r="A643" s="167" t="s">
        <v>2721</v>
      </c>
      <c r="B643" s="168" t="str">
        <f>RIGHT("a12035777",LEN("a12035777")-1)</f>
        <v>12035777</v>
      </c>
      <c r="C643" s="169" t="s">
        <v>2722</v>
      </c>
      <c r="D643" s="170">
        <v>25046</v>
      </c>
      <c r="E643" s="169" t="s">
        <v>95</v>
      </c>
      <c r="F643" s="168">
        <f t="shared" si="10"/>
      </c>
      <c r="G643" s="169" t="s">
        <v>1534</v>
      </c>
      <c r="H643" s="169" t="s">
        <v>2646</v>
      </c>
      <c r="I643" s="169" t="s">
        <v>2695</v>
      </c>
      <c r="J643" s="171"/>
    </row>
    <row r="644" spans="1:10" ht="19.5" customHeight="1">
      <c r="A644" s="167" t="s">
        <v>2723</v>
      </c>
      <c r="B644" s="168" t="str">
        <f>RIGHT("a12035778",LEN("a12035778")-1)</f>
        <v>12035778</v>
      </c>
      <c r="C644" s="169" t="s">
        <v>2724</v>
      </c>
      <c r="D644" s="170">
        <v>31471</v>
      </c>
      <c r="E644" s="169" t="s">
        <v>1533</v>
      </c>
      <c r="F644" s="168">
        <f t="shared" si="10"/>
      </c>
      <c r="G644" s="169" t="s">
        <v>1534</v>
      </c>
      <c r="H644" s="169" t="s">
        <v>2646</v>
      </c>
      <c r="I644" s="169" t="s">
        <v>2695</v>
      </c>
      <c r="J644" s="171"/>
    </row>
    <row r="645" spans="1:10" ht="19.5" customHeight="1">
      <c r="A645" s="167" t="s">
        <v>2725</v>
      </c>
      <c r="B645" s="168" t="str">
        <f>RIGHT("a12035779",LEN("a12035779")-1)</f>
        <v>12035779</v>
      </c>
      <c r="C645" s="169" t="s">
        <v>2726</v>
      </c>
      <c r="D645" s="170">
        <v>25738</v>
      </c>
      <c r="E645" s="169" t="s">
        <v>95</v>
      </c>
      <c r="F645" s="168">
        <f t="shared" si="10"/>
      </c>
      <c r="G645" s="169" t="s">
        <v>1534</v>
      </c>
      <c r="H645" s="169" t="s">
        <v>2646</v>
      </c>
      <c r="I645" s="169" t="s">
        <v>2695</v>
      </c>
      <c r="J645" s="171"/>
    </row>
    <row r="646" spans="1:10" ht="19.5" customHeight="1">
      <c r="A646" s="167" t="s">
        <v>2727</v>
      </c>
      <c r="B646" s="168" t="str">
        <f>RIGHT("a12035780",LEN("a12035780")-1)</f>
        <v>12035780</v>
      </c>
      <c r="C646" s="169" t="s">
        <v>2728</v>
      </c>
      <c r="D646" s="170">
        <v>29048</v>
      </c>
      <c r="E646" s="169" t="s">
        <v>1533</v>
      </c>
      <c r="F646" s="168">
        <f t="shared" si="10"/>
      </c>
      <c r="G646" s="169" t="s">
        <v>1534</v>
      </c>
      <c r="H646" s="169" t="s">
        <v>2646</v>
      </c>
      <c r="I646" s="169" t="s">
        <v>2695</v>
      </c>
      <c r="J646" s="171"/>
    </row>
    <row r="647" spans="1:10" ht="19.5" customHeight="1">
      <c r="A647" s="167" t="s">
        <v>2729</v>
      </c>
      <c r="B647" s="168" t="str">
        <f>RIGHT("a12035781",LEN("a12035781")-1)</f>
        <v>12035781</v>
      </c>
      <c r="C647" s="169" t="s">
        <v>2730</v>
      </c>
      <c r="D647" s="170">
        <v>28761</v>
      </c>
      <c r="E647" s="169" t="s">
        <v>1533</v>
      </c>
      <c r="F647" s="168">
        <f t="shared" si="10"/>
      </c>
      <c r="G647" s="169" t="s">
        <v>1534</v>
      </c>
      <c r="H647" s="169" t="s">
        <v>2646</v>
      </c>
      <c r="I647" s="169" t="s">
        <v>2695</v>
      </c>
      <c r="J647" s="171"/>
    </row>
    <row r="648" spans="1:10" ht="19.5" customHeight="1">
      <c r="A648" s="167" t="s">
        <v>2731</v>
      </c>
      <c r="B648" s="168" t="str">
        <f>RIGHT("a12035782",LEN("a12035782")-1)</f>
        <v>12035782</v>
      </c>
      <c r="C648" s="169" t="s">
        <v>2732</v>
      </c>
      <c r="D648" s="170">
        <v>29375</v>
      </c>
      <c r="E648" s="169" t="s">
        <v>95</v>
      </c>
      <c r="F648" s="168">
        <f t="shared" si="10"/>
      </c>
      <c r="G648" s="169" t="s">
        <v>1534</v>
      </c>
      <c r="H648" s="169" t="s">
        <v>2646</v>
      </c>
      <c r="I648" s="169" t="s">
        <v>2695</v>
      </c>
      <c r="J648" s="171"/>
    </row>
    <row r="649" spans="1:10" ht="19.5" customHeight="1">
      <c r="A649" s="167" t="s">
        <v>2733</v>
      </c>
      <c r="B649" s="168" t="str">
        <f>RIGHT("a12035783",LEN("a12035783")-1)</f>
        <v>12035783</v>
      </c>
      <c r="C649" s="169" t="s">
        <v>2734</v>
      </c>
      <c r="D649" s="170">
        <v>28608</v>
      </c>
      <c r="E649" s="169" t="s">
        <v>95</v>
      </c>
      <c r="F649" s="168">
        <f t="shared" si="10"/>
      </c>
      <c r="G649" s="169" t="s">
        <v>1534</v>
      </c>
      <c r="H649" s="169" t="s">
        <v>2646</v>
      </c>
      <c r="I649" s="169" t="s">
        <v>2695</v>
      </c>
      <c r="J649" s="171"/>
    </row>
    <row r="650" spans="1:10" ht="19.5" customHeight="1">
      <c r="A650" s="167" t="s">
        <v>2735</v>
      </c>
      <c r="B650" s="168" t="str">
        <f>RIGHT("a12035784",LEN("a12035784")-1)</f>
        <v>12035784</v>
      </c>
      <c r="C650" s="169" t="s">
        <v>2736</v>
      </c>
      <c r="D650" s="170">
        <v>29187</v>
      </c>
      <c r="E650" s="169" t="s">
        <v>95</v>
      </c>
      <c r="F650" s="168">
        <f t="shared" si="10"/>
      </c>
      <c r="G650" s="169" t="s">
        <v>1534</v>
      </c>
      <c r="H650" s="169" t="s">
        <v>2646</v>
      </c>
      <c r="I650" s="169" t="s">
        <v>2695</v>
      </c>
      <c r="J650" s="171"/>
    </row>
    <row r="651" spans="1:10" ht="19.5" customHeight="1">
      <c r="A651" s="167" t="s">
        <v>2737</v>
      </c>
      <c r="B651" s="168" t="str">
        <f>RIGHT("a12035785",LEN("a12035785")-1)</f>
        <v>12035785</v>
      </c>
      <c r="C651" s="169" t="s">
        <v>2738</v>
      </c>
      <c r="D651" s="170">
        <v>31323</v>
      </c>
      <c r="E651" s="169" t="s">
        <v>95</v>
      </c>
      <c r="F651" s="168">
        <f t="shared" si="10"/>
      </c>
      <c r="G651" s="169" t="s">
        <v>1534</v>
      </c>
      <c r="H651" s="169" t="s">
        <v>2646</v>
      </c>
      <c r="I651" s="169" t="s">
        <v>2695</v>
      </c>
      <c r="J651" s="171"/>
    </row>
    <row r="652" spans="1:10" ht="19.5" customHeight="1">
      <c r="A652" s="167" t="s">
        <v>2739</v>
      </c>
      <c r="B652" s="168" t="str">
        <f>RIGHT("a12035786",LEN("a12035786")-1)</f>
        <v>12035786</v>
      </c>
      <c r="C652" s="169" t="s">
        <v>2740</v>
      </c>
      <c r="D652" s="170">
        <v>24638</v>
      </c>
      <c r="E652" s="169" t="s">
        <v>95</v>
      </c>
      <c r="F652" s="168">
        <f t="shared" si="10"/>
      </c>
      <c r="G652" s="169" t="s">
        <v>1534</v>
      </c>
      <c r="H652" s="169" t="s">
        <v>2646</v>
      </c>
      <c r="I652" s="169" t="s">
        <v>2695</v>
      </c>
      <c r="J652" s="171"/>
    </row>
    <row r="653" spans="1:10" ht="19.5" customHeight="1">
      <c r="A653" s="167" t="s">
        <v>2741</v>
      </c>
      <c r="B653" s="168" t="str">
        <f>RIGHT("a12035787",LEN("a12035787")-1)</f>
        <v>12035787</v>
      </c>
      <c r="C653" s="169" t="s">
        <v>2742</v>
      </c>
      <c r="D653" s="170">
        <v>25951</v>
      </c>
      <c r="E653" s="169" t="s">
        <v>1533</v>
      </c>
      <c r="F653" s="168">
        <f t="shared" si="10"/>
      </c>
      <c r="G653" s="169" t="s">
        <v>1534</v>
      </c>
      <c r="H653" s="169" t="s">
        <v>2646</v>
      </c>
      <c r="I653" s="169" t="s">
        <v>2695</v>
      </c>
      <c r="J653" s="171"/>
    </row>
    <row r="654" spans="1:10" ht="19.5" customHeight="1">
      <c r="A654" s="167" t="s">
        <v>2743</v>
      </c>
      <c r="B654" s="168" t="str">
        <f>RIGHT("a12035788",LEN("a12035788")-1)</f>
        <v>12035788</v>
      </c>
      <c r="C654" s="169" t="s">
        <v>2744</v>
      </c>
      <c r="D654" s="170">
        <v>29138</v>
      </c>
      <c r="E654" s="169" t="s">
        <v>1533</v>
      </c>
      <c r="F654" s="168">
        <f t="shared" si="10"/>
      </c>
      <c r="G654" s="169" t="s">
        <v>1534</v>
      </c>
      <c r="H654" s="169" t="s">
        <v>2646</v>
      </c>
      <c r="I654" s="169" t="s">
        <v>2695</v>
      </c>
      <c r="J654" s="171"/>
    </row>
    <row r="655" spans="1:10" ht="19.5" customHeight="1">
      <c r="A655" s="167" t="s">
        <v>2745</v>
      </c>
      <c r="B655" s="168" t="str">
        <f>RIGHT("a12035584",LEN("a12035584")-1)</f>
        <v>12035584</v>
      </c>
      <c r="C655" s="169" t="s">
        <v>2746</v>
      </c>
      <c r="D655" s="170">
        <v>29915</v>
      </c>
      <c r="E655" s="169" t="s">
        <v>1533</v>
      </c>
      <c r="F655" s="168">
        <f t="shared" si="10"/>
      </c>
      <c r="G655" s="169" t="s">
        <v>1534</v>
      </c>
      <c r="H655" s="169" t="s">
        <v>1650</v>
      </c>
      <c r="I655" s="169" t="s">
        <v>2747</v>
      </c>
      <c r="J655" s="171"/>
    </row>
    <row r="656" spans="1:10" ht="19.5" customHeight="1">
      <c r="A656" s="167" t="s">
        <v>2748</v>
      </c>
      <c r="B656" s="168" t="str">
        <f>RIGHT("a12035573",LEN("a12035573")-1)</f>
        <v>12035573</v>
      </c>
      <c r="C656" s="169" t="s">
        <v>2749</v>
      </c>
      <c r="D656" s="170">
        <v>29119</v>
      </c>
      <c r="E656" s="169" t="s">
        <v>1533</v>
      </c>
      <c r="F656" s="168">
        <f t="shared" si="10"/>
      </c>
      <c r="G656" s="169" t="s">
        <v>1534</v>
      </c>
      <c r="H656" s="169" t="s">
        <v>1650</v>
      </c>
      <c r="I656" s="169" t="s">
        <v>2747</v>
      </c>
      <c r="J656" s="171"/>
    </row>
    <row r="657" spans="1:10" ht="19.5" customHeight="1">
      <c r="A657" s="167" t="s">
        <v>2750</v>
      </c>
      <c r="B657" s="168" t="str">
        <f>RIGHT("a12035577",LEN("a12035577")-1)</f>
        <v>12035577</v>
      </c>
      <c r="C657" s="169" t="s">
        <v>1683</v>
      </c>
      <c r="D657" s="170">
        <v>32684</v>
      </c>
      <c r="E657" s="169" t="s">
        <v>1533</v>
      </c>
      <c r="F657" s="168">
        <f t="shared" si="10"/>
      </c>
      <c r="G657" s="169" t="s">
        <v>1534</v>
      </c>
      <c r="H657" s="169" t="s">
        <v>1650</v>
      </c>
      <c r="I657" s="169" t="s">
        <v>2747</v>
      </c>
      <c r="J657" s="171"/>
    </row>
    <row r="658" spans="1:10" ht="19.5" customHeight="1">
      <c r="A658" s="167" t="s">
        <v>2751</v>
      </c>
      <c r="B658" s="168" t="str">
        <f>RIGHT("a12035581",LEN("a12035581")-1)</f>
        <v>12035581</v>
      </c>
      <c r="C658" s="169" t="s">
        <v>2752</v>
      </c>
      <c r="D658" s="170">
        <v>30447</v>
      </c>
      <c r="E658" s="169" t="s">
        <v>95</v>
      </c>
      <c r="F658" s="168">
        <f t="shared" si="10"/>
      </c>
      <c r="G658" s="169" t="s">
        <v>1534</v>
      </c>
      <c r="H658" s="169" t="s">
        <v>1650</v>
      </c>
      <c r="I658" s="169" t="s">
        <v>2747</v>
      </c>
      <c r="J658" s="171"/>
    </row>
    <row r="659" spans="1:10" ht="19.5" customHeight="1">
      <c r="A659" s="167" t="s">
        <v>2753</v>
      </c>
      <c r="B659" s="168" t="str">
        <f>RIGHT("a12035574",LEN("a12035574")-1)</f>
        <v>12035574</v>
      </c>
      <c r="C659" s="169" t="s">
        <v>2285</v>
      </c>
      <c r="D659" s="170">
        <v>33034</v>
      </c>
      <c r="E659" s="169" t="s">
        <v>1533</v>
      </c>
      <c r="F659" s="168">
        <f t="shared" si="10"/>
      </c>
      <c r="G659" s="169" t="s">
        <v>1534</v>
      </c>
      <c r="H659" s="169" t="s">
        <v>1650</v>
      </c>
      <c r="I659" s="169" t="s">
        <v>2747</v>
      </c>
      <c r="J659" s="171"/>
    </row>
    <row r="660" spans="1:10" ht="19.5" customHeight="1">
      <c r="A660" s="167" t="s">
        <v>2754</v>
      </c>
      <c r="B660" s="168" t="str">
        <f>RIGHT("a12035578",LEN("a12035578")-1)</f>
        <v>12035578</v>
      </c>
      <c r="C660" s="169" t="s">
        <v>2755</v>
      </c>
      <c r="D660" s="170">
        <v>32702</v>
      </c>
      <c r="E660" s="169" t="s">
        <v>1533</v>
      </c>
      <c r="F660" s="168">
        <f t="shared" si="10"/>
      </c>
      <c r="G660" s="169" t="s">
        <v>1534</v>
      </c>
      <c r="H660" s="169" t="s">
        <v>1650</v>
      </c>
      <c r="I660" s="169" t="s">
        <v>2747</v>
      </c>
      <c r="J660" s="171"/>
    </row>
    <row r="661" spans="1:10" ht="19.5" customHeight="1">
      <c r="A661" s="167" t="s">
        <v>2756</v>
      </c>
      <c r="B661" s="168" t="str">
        <f>RIGHT("a12035579",LEN("a12035579")-1)</f>
        <v>12035579</v>
      </c>
      <c r="C661" s="169" t="s">
        <v>2757</v>
      </c>
      <c r="D661" s="170">
        <v>27719</v>
      </c>
      <c r="E661" s="169" t="s">
        <v>95</v>
      </c>
      <c r="F661" s="168">
        <f t="shared" si="10"/>
      </c>
      <c r="G661" s="169" t="s">
        <v>1534</v>
      </c>
      <c r="H661" s="169" t="s">
        <v>1650</v>
      </c>
      <c r="I661" s="169" t="s">
        <v>2747</v>
      </c>
      <c r="J661" s="171"/>
    </row>
    <row r="662" spans="1:10" ht="19.5" customHeight="1">
      <c r="A662" s="167" t="s">
        <v>2758</v>
      </c>
      <c r="B662" s="168" t="str">
        <f>RIGHT("a12035582",LEN("a12035582")-1)</f>
        <v>12035582</v>
      </c>
      <c r="C662" s="169" t="s">
        <v>2759</v>
      </c>
      <c r="D662" s="170">
        <v>28948</v>
      </c>
      <c r="E662" s="169" t="s">
        <v>1533</v>
      </c>
      <c r="F662" s="168">
        <f t="shared" si="10"/>
      </c>
      <c r="G662" s="169" t="s">
        <v>1534</v>
      </c>
      <c r="H662" s="169" t="s">
        <v>1650</v>
      </c>
      <c r="I662" s="169" t="s">
        <v>2747</v>
      </c>
      <c r="J662" s="171"/>
    </row>
    <row r="663" spans="1:10" ht="19.5" customHeight="1">
      <c r="A663" s="167" t="s">
        <v>2760</v>
      </c>
      <c r="B663" s="168" t="str">
        <f>RIGHT("a12035580",LEN("a12035580")-1)</f>
        <v>12035580</v>
      </c>
      <c r="C663" s="169" t="s">
        <v>2761</v>
      </c>
      <c r="D663" s="170">
        <v>23550</v>
      </c>
      <c r="E663" s="169" t="s">
        <v>95</v>
      </c>
      <c r="F663" s="168">
        <f t="shared" si="10"/>
      </c>
      <c r="G663" s="169" t="s">
        <v>1534</v>
      </c>
      <c r="H663" s="169" t="s">
        <v>1650</v>
      </c>
      <c r="I663" s="169" t="s">
        <v>2747</v>
      </c>
      <c r="J663" s="171"/>
    </row>
    <row r="664" spans="1:10" ht="19.5" customHeight="1">
      <c r="A664" s="167" t="s">
        <v>2762</v>
      </c>
      <c r="B664" s="168" t="str">
        <f>RIGHT("a12035190",LEN("a12035190")-1)</f>
        <v>12035190</v>
      </c>
      <c r="C664" s="169" t="s">
        <v>2763</v>
      </c>
      <c r="D664" s="170">
        <v>33091</v>
      </c>
      <c r="E664" s="169" t="s">
        <v>1533</v>
      </c>
      <c r="F664" s="168">
        <f t="shared" si="10"/>
      </c>
      <c r="G664" s="169" t="s">
        <v>1534</v>
      </c>
      <c r="H664" s="169" t="s">
        <v>1650</v>
      </c>
      <c r="I664" s="169" t="s">
        <v>2747</v>
      </c>
      <c r="J664" s="171"/>
    </row>
    <row r="665" spans="1:10" ht="19.5" customHeight="1">
      <c r="A665" s="167" t="s">
        <v>2764</v>
      </c>
      <c r="B665" s="168" t="str">
        <f>RIGHT("a12035576",LEN("a12035576")-1)</f>
        <v>12035576</v>
      </c>
      <c r="C665" s="169" t="s">
        <v>2765</v>
      </c>
      <c r="D665" s="170">
        <v>32604</v>
      </c>
      <c r="E665" s="169" t="s">
        <v>95</v>
      </c>
      <c r="F665" s="168">
        <f t="shared" si="10"/>
      </c>
      <c r="G665" s="169" t="s">
        <v>1534</v>
      </c>
      <c r="H665" s="169" t="s">
        <v>1650</v>
      </c>
      <c r="I665" s="169" t="s">
        <v>2747</v>
      </c>
      <c r="J665" s="171"/>
    </row>
    <row r="666" spans="1:10" ht="19.5" customHeight="1">
      <c r="A666" s="167" t="s">
        <v>2766</v>
      </c>
      <c r="B666" s="168" t="str">
        <f>RIGHT("a12035575",LEN("a12035575")-1)</f>
        <v>12035575</v>
      </c>
      <c r="C666" s="169" t="s">
        <v>2767</v>
      </c>
      <c r="D666" s="170">
        <v>32198</v>
      </c>
      <c r="E666" s="169" t="s">
        <v>95</v>
      </c>
      <c r="F666" s="168">
        <f t="shared" si="10"/>
      </c>
      <c r="G666" s="169" t="s">
        <v>1534</v>
      </c>
      <c r="H666" s="169" t="s">
        <v>1650</v>
      </c>
      <c r="I666" s="169" t="s">
        <v>2747</v>
      </c>
      <c r="J666" s="171"/>
    </row>
    <row r="667" spans="1:10" ht="19.5" customHeight="1">
      <c r="A667" s="167" t="s">
        <v>2768</v>
      </c>
      <c r="B667" s="168" t="str">
        <f>RIGHT("a12035583",LEN("a12035583")-1)</f>
        <v>12035583</v>
      </c>
      <c r="C667" s="169" t="s">
        <v>2769</v>
      </c>
      <c r="D667" s="170">
        <v>32353</v>
      </c>
      <c r="E667" s="169" t="s">
        <v>1533</v>
      </c>
      <c r="F667" s="168">
        <f t="shared" si="10"/>
      </c>
      <c r="G667" s="169" t="s">
        <v>1534</v>
      </c>
      <c r="H667" s="169" t="s">
        <v>1650</v>
      </c>
      <c r="I667" s="169" t="s">
        <v>2747</v>
      </c>
      <c r="J667" s="171"/>
    </row>
    <row r="668" spans="1:10" ht="19.5" customHeight="1">
      <c r="A668" s="167" t="s">
        <v>2770</v>
      </c>
      <c r="B668" s="168" t="str">
        <f>RIGHT("a12035179",LEN("a12035179")-1)</f>
        <v>12035179</v>
      </c>
      <c r="C668" s="169" t="s">
        <v>2771</v>
      </c>
      <c r="D668" s="170">
        <v>30624</v>
      </c>
      <c r="E668" s="169" t="s">
        <v>1533</v>
      </c>
      <c r="F668" s="168">
        <f t="shared" si="10"/>
      </c>
      <c r="G668" s="169" t="s">
        <v>1534</v>
      </c>
      <c r="H668" s="169" t="s">
        <v>857</v>
      </c>
      <c r="I668" s="169" t="s">
        <v>2772</v>
      </c>
      <c r="J668" s="171"/>
    </row>
    <row r="669" spans="1:10" ht="19.5" customHeight="1">
      <c r="A669" s="167" t="s">
        <v>2773</v>
      </c>
      <c r="B669" s="168" t="str">
        <f>RIGHT("a12035558",LEN("a12035558")-1)</f>
        <v>12035558</v>
      </c>
      <c r="C669" s="169" t="s">
        <v>2774</v>
      </c>
      <c r="D669" s="170">
        <v>32230</v>
      </c>
      <c r="E669" s="169" t="s">
        <v>95</v>
      </c>
      <c r="F669" s="168">
        <f t="shared" si="10"/>
      </c>
      <c r="G669" s="169" t="s">
        <v>1534</v>
      </c>
      <c r="H669" s="169" t="s">
        <v>857</v>
      </c>
      <c r="I669" s="169" t="s">
        <v>2772</v>
      </c>
      <c r="J669" s="171"/>
    </row>
    <row r="670" spans="1:10" ht="19.5" customHeight="1">
      <c r="A670" s="167" t="s">
        <v>2775</v>
      </c>
      <c r="B670" s="168" t="str">
        <f>RIGHT("a12035560",LEN("a12035560")-1)</f>
        <v>12035560</v>
      </c>
      <c r="C670" s="169" t="s">
        <v>2776</v>
      </c>
      <c r="D670" s="170">
        <v>32061</v>
      </c>
      <c r="E670" s="169" t="s">
        <v>1533</v>
      </c>
      <c r="F670" s="168">
        <f t="shared" si="10"/>
      </c>
      <c r="G670" s="169" t="s">
        <v>1534</v>
      </c>
      <c r="H670" s="169" t="s">
        <v>857</v>
      </c>
      <c r="I670" s="169" t="s">
        <v>2772</v>
      </c>
      <c r="J670" s="171"/>
    </row>
    <row r="671" spans="1:10" ht="19.5" customHeight="1">
      <c r="A671" s="167" t="s">
        <v>2777</v>
      </c>
      <c r="B671" s="168" t="str">
        <f>RIGHT("a12035566",LEN("a12035566")-1)</f>
        <v>12035566</v>
      </c>
      <c r="C671" s="169" t="s">
        <v>1812</v>
      </c>
      <c r="D671" s="170">
        <v>33081</v>
      </c>
      <c r="E671" s="169" t="s">
        <v>1533</v>
      </c>
      <c r="F671" s="168">
        <f t="shared" si="10"/>
      </c>
      <c r="G671" s="169" t="s">
        <v>1534</v>
      </c>
      <c r="H671" s="169" t="s">
        <v>857</v>
      </c>
      <c r="I671" s="169" t="s">
        <v>2772</v>
      </c>
      <c r="J671" s="171"/>
    </row>
    <row r="672" spans="1:10" ht="19.5" customHeight="1">
      <c r="A672" s="167" t="s">
        <v>2778</v>
      </c>
      <c r="B672" s="168" t="str">
        <f>RIGHT("a12035568",LEN("a12035568")-1)</f>
        <v>12035568</v>
      </c>
      <c r="C672" s="169" t="s">
        <v>1720</v>
      </c>
      <c r="D672" s="170">
        <v>33088</v>
      </c>
      <c r="E672" s="169" t="s">
        <v>1533</v>
      </c>
      <c r="F672" s="168">
        <f t="shared" si="10"/>
      </c>
      <c r="G672" s="169" t="s">
        <v>1534</v>
      </c>
      <c r="H672" s="169" t="s">
        <v>857</v>
      </c>
      <c r="I672" s="169" t="s">
        <v>2772</v>
      </c>
      <c r="J672" s="171"/>
    </row>
    <row r="673" spans="1:10" ht="19.5" customHeight="1">
      <c r="A673" s="167" t="s">
        <v>2779</v>
      </c>
      <c r="B673" s="168" t="str">
        <f>RIGHT("a12035180",LEN("a12035180")-1)</f>
        <v>12035180</v>
      </c>
      <c r="C673" s="169" t="s">
        <v>2009</v>
      </c>
      <c r="D673" s="170">
        <v>31710</v>
      </c>
      <c r="E673" s="169" t="s">
        <v>1533</v>
      </c>
      <c r="F673" s="168">
        <f t="shared" si="10"/>
      </c>
      <c r="G673" s="169" t="s">
        <v>1534</v>
      </c>
      <c r="H673" s="169" t="s">
        <v>857</v>
      </c>
      <c r="I673" s="169" t="s">
        <v>2772</v>
      </c>
      <c r="J673" s="171"/>
    </row>
    <row r="674" spans="1:10" ht="19.5" customHeight="1">
      <c r="A674" s="167" t="s">
        <v>2780</v>
      </c>
      <c r="B674" s="168" t="str">
        <f>RIGHT("a12035571",LEN("a12035571")-1)</f>
        <v>12035571</v>
      </c>
      <c r="C674" s="169" t="s">
        <v>1552</v>
      </c>
      <c r="D674" s="170">
        <v>32391</v>
      </c>
      <c r="E674" s="169" t="s">
        <v>1533</v>
      </c>
      <c r="F674" s="168">
        <f t="shared" si="10"/>
      </c>
      <c r="G674" s="169" t="s">
        <v>1534</v>
      </c>
      <c r="H674" s="169" t="s">
        <v>857</v>
      </c>
      <c r="I674" s="169" t="s">
        <v>2772</v>
      </c>
      <c r="J674" s="171"/>
    </row>
    <row r="675" spans="1:10" ht="19.5" customHeight="1">
      <c r="A675" s="167" t="s">
        <v>2781</v>
      </c>
      <c r="B675" s="168" t="str">
        <f>RIGHT("a12035564",LEN("a12035564")-1)</f>
        <v>12035564</v>
      </c>
      <c r="C675" s="169" t="s">
        <v>236</v>
      </c>
      <c r="D675" s="170">
        <v>32849</v>
      </c>
      <c r="E675" s="169" t="s">
        <v>1533</v>
      </c>
      <c r="F675" s="168">
        <f t="shared" si="10"/>
      </c>
      <c r="G675" s="169" t="s">
        <v>1534</v>
      </c>
      <c r="H675" s="169" t="s">
        <v>857</v>
      </c>
      <c r="I675" s="169" t="s">
        <v>2772</v>
      </c>
      <c r="J675" s="171"/>
    </row>
    <row r="676" spans="1:10" ht="19.5" customHeight="1">
      <c r="A676" s="167" t="s">
        <v>2782</v>
      </c>
      <c r="B676" s="168" t="str">
        <f>RIGHT("a12035181",LEN("a12035181")-1)</f>
        <v>12035181</v>
      </c>
      <c r="C676" s="169" t="s">
        <v>2783</v>
      </c>
      <c r="D676" s="170">
        <v>32454</v>
      </c>
      <c r="E676" s="169" t="s">
        <v>1533</v>
      </c>
      <c r="F676" s="168">
        <f t="shared" si="10"/>
      </c>
      <c r="G676" s="169" t="s">
        <v>1534</v>
      </c>
      <c r="H676" s="169" t="s">
        <v>857</v>
      </c>
      <c r="I676" s="169" t="s">
        <v>2772</v>
      </c>
      <c r="J676" s="171"/>
    </row>
    <row r="677" spans="1:10" ht="19.5" customHeight="1">
      <c r="A677" s="167" t="s">
        <v>2784</v>
      </c>
      <c r="B677" s="168" t="str">
        <f>RIGHT("a12035569",LEN("a12035569")-1)</f>
        <v>12035569</v>
      </c>
      <c r="C677" s="169" t="s">
        <v>429</v>
      </c>
      <c r="D677" s="170">
        <v>33142</v>
      </c>
      <c r="E677" s="169" t="s">
        <v>95</v>
      </c>
      <c r="F677" s="168">
        <f t="shared" si="10"/>
      </c>
      <c r="G677" s="169" t="s">
        <v>1534</v>
      </c>
      <c r="H677" s="169" t="s">
        <v>857</v>
      </c>
      <c r="I677" s="169" t="s">
        <v>2772</v>
      </c>
      <c r="J677" s="171"/>
    </row>
    <row r="678" spans="1:10" ht="19.5" customHeight="1">
      <c r="A678" s="167" t="s">
        <v>2785</v>
      </c>
      <c r="B678" s="168" t="str">
        <f>RIGHT("a12035572",LEN("a12035572")-1)</f>
        <v>12035572</v>
      </c>
      <c r="C678" s="169" t="s">
        <v>2786</v>
      </c>
      <c r="D678" s="170">
        <v>32874</v>
      </c>
      <c r="E678" s="169" t="s">
        <v>1533</v>
      </c>
      <c r="F678" s="168">
        <f t="shared" si="10"/>
      </c>
      <c r="G678" s="169" t="s">
        <v>1534</v>
      </c>
      <c r="H678" s="169" t="s">
        <v>857</v>
      </c>
      <c r="I678" s="169" t="s">
        <v>2772</v>
      </c>
      <c r="J678" s="171"/>
    </row>
    <row r="679" spans="1:10" ht="19.5" customHeight="1">
      <c r="A679" s="167" t="s">
        <v>2787</v>
      </c>
      <c r="B679" s="168" t="str">
        <f>RIGHT("a12035182",LEN("a12035182")-1)</f>
        <v>12035182</v>
      </c>
      <c r="C679" s="169" t="s">
        <v>2788</v>
      </c>
      <c r="D679" s="170">
        <v>31783</v>
      </c>
      <c r="E679" s="169" t="s">
        <v>95</v>
      </c>
      <c r="F679" s="168">
        <f t="shared" si="10"/>
      </c>
      <c r="G679" s="169" t="s">
        <v>1534</v>
      </c>
      <c r="H679" s="169" t="s">
        <v>857</v>
      </c>
      <c r="I679" s="169" t="s">
        <v>2772</v>
      </c>
      <c r="J679" s="171"/>
    </row>
    <row r="680" spans="1:10" ht="19.5" customHeight="1">
      <c r="A680" s="167" t="s">
        <v>2789</v>
      </c>
      <c r="B680" s="168" t="str">
        <f>RIGHT("a12035561",LEN("a12035561")-1)</f>
        <v>12035561</v>
      </c>
      <c r="C680" s="169" t="s">
        <v>1521</v>
      </c>
      <c r="D680" s="170">
        <v>32434</v>
      </c>
      <c r="E680" s="169" t="s">
        <v>1533</v>
      </c>
      <c r="F680" s="168">
        <f t="shared" si="10"/>
      </c>
      <c r="G680" s="169" t="s">
        <v>1534</v>
      </c>
      <c r="H680" s="169" t="s">
        <v>857</v>
      </c>
      <c r="I680" s="169" t="s">
        <v>2772</v>
      </c>
      <c r="J680" s="171"/>
    </row>
    <row r="681" spans="1:10" ht="19.5" customHeight="1">
      <c r="A681" s="167" t="s">
        <v>2790</v>
      </c>
      <c r="B681" s="168" t="str">
        <f>RIGHT("a12035563",LEN("a12035563")-1)</f>
        <v>12035563</v>
      </c>
      <c r="C681" s="169" t="s">
        <v>1935</v>
      </c>
      <c r="D681" s="170">
        <v>32436</v>
      </c>
      <c r="E681" s="169" t="s">
        <v>1533</v>
      </c>
      <c r="F681" s="168">
        <f t="shared" si="10"/>
      </c>
      <c r="G681" s="169" t="s">
        <v>1534</v>
      </c>
      <c r="H681" s="169" t="s">
        <v>857</v>
      </c>
      <c r="I681" s="169" t="s">
        <v>2772</v>
      </c>
      <c r="J681" s="171"/>
    </row>
    <row r="682" spans="1:10" ht="19.5" customHeight="1">
      <c r="A682" s="167" t="s">
        <v>2791</v>
      </c>
      <c r="B682" s="168" t="str">
        <f>RIGHT("a12035183",LEN("a12035183")-1)</f>
        <v>12035183</v>
      </c>
      <c r="C682" s="169" t="s">
        <v>2792</v>
      </c>
      <c r="D682" s="170">
        <v>32705</v>
      </c>
      <c r="E682" s="169" t="s">
        <v>1533</v>
      </c>
      <c r="F682" s="168">
        <f t="shared" si="10"/>
      </c>
      <c r="G682" s="169" t="s">
        <v>1534</v>
      </c>
      <c r="H682" s="169" t="s">
        <v>857</v>
      </c>
      <c r="I682" s="169" t="s">
        <v>2772</v>
      </c>
      <c r="J682" s="171"/>
    </row>
    <row r="683" spans="1:10" ht="19.5" customHeight="1">
      <c r="A683" s="167" t="s">
        <v>2793</v>
      </c>
      <c r="B683" s="168" t="str">
        <f>RIGHT("a12035184",LEN("a12035184")-1)</f>
        <v>12035184</v>
      </c>
      <c r="C683" s="169" t="s">
        <v>2794</v>
      </c>
      <c r="D683" s="170">
        <v>32472</v>
      </c>
      <c r="E683" s="169" t="s">
        <v>95</v>
      </c>
      <c r="F683" s="168">
        <f t="shared" si="10"/>
      </c>
      <c r="G683" s="169" t="s">
        <v>1534</v>
      </c>
      <c r="H683" s="169" t="s">
        <v>857</v>
      </c>
      <c r="I683" s="169" t="s">
        <v>2772</v>
      </c>
      <c r="J683" s="171"/>
    </row>
    <row r="684" spans="1:10" ht="19.5" customHeight="1">
      <c r="A684" s="167" t="s">
        <v>2795</v>
      </c>
      <c r="B684" s="168" t="str">
        <f>RIGHT("a12035559",LEN("a12035559")-1)</f>
        <v>12035559</v>
      </c>
      <c r="C684" s="169" t="s">
        <v>2796</v>
      </c>
      <c r="D684" s="170">
        <v>31999</v>
      </c>
      <c r="E684" s="169" t="s">
        <v>95</v>
      </c>
      <c r="F684" s="168">
        <f t="shared" si="10"/>
      </c>
      <c r="G684" s="169" t="s">
        <v>1534</v>
      </c>
      <c r="H684" s="169" t="s">
        <v>857</v>
      </c>
      <c r="I684" s="169" t="s">
        <v>2772</v>
      </c>
      <c r="J684" s="171"/>
    </row>
    <row r="685" spans="1:10" ht="19.5" customHeight="1">
      <c r="A685" s="167" t="s">
        <v>2797</v>
      </c>
      <c r="B685" s="168" t="str">
        <f>RIGHT("a12035567",LEN("a12035567")-1)</f>
        <v>12035567</v>
      </c>
      <c r="C685" s="169" t="s">
        <v>2798</v>
      </c>
      <c r="D685" s="170">
        <v>29518</v>
      </c>
      <c r="E685" s="169" t="s">
        <v>1533</v>
      </c>
      <c r="F685" s="168">
        <f t="shared" si="10"/>
      </c>
      <c r="G685" s="169" t="s">
        <v>1534</v>
      </c>
      <c r="H685" s="169" t="s">
        <v>857</v>
      </c>
      <c r="I685" s="169" t="s">
        <v>2772</v>
      </c>
      <c r="J685" s="171"/>
    </row>
    <row r="686" spans="1:10" ht="19.5" customHeight="1">
      <c r="A686" s="167" t="s">
        <v>2799</v>
      </c>
      <c r="B686" s="168" t="str">
        <f>RIGHT("a12035570",LEN("a12035570")-1)</f>
        <v>12035570</v>
      </c>
      <c r="C686" s="169" t="s">
        <v>2800</v>
      </c>
      <c r="D686" s="170">
        <v>33018</v>
      </c>
      <c r="E686" s="169" t="s">
        <v>1533</v>
      </c>
      <c r="F686" s="168">
        <f t="shared" si="10"/>
      </c>
      <c r="G686" s="169" t="s">
        <v>1534</v>
      </c>
      <c r="H686" s="169" t="s">
        <v>857</v>
      </c>
      <c r="I686" s="169" t="s">
        <v>2772</v>
      </c>
      <c r="J686" s="171"/>
    </row>
    <row r="687" spans="1:10" ht="19.5" customHeight="1">
      <c r="A687" s="167" t="s">
        <v>2801</v>
      </c>
      <c r="B687" s="168" t="str">
        <f>RIGHT("a12035565",LEN("a12035565")-1)</f>
        <v>12035565</v>
      </c>
      <c r="C687" s="169" t="s">
        <v>2802</v>
      </c>
      <c r="D687" s="170">
        <v>32829</v>
      </c>
      <c r="E687" s="169" t="s">
        <v>1533</v>
      </c>
      <c r="F687" s="168">
        <f t="shared" si="10"/>
      </c>
      <c r="G687" s="169" t="s">
        <v>1534</v>
      </c>
      <c r="H687" s="169" t="s">
        <v>857</v>
      </c>
      <c r="I687" s="169" t="s">
        <v>2772</v>
      </c>
      <c r="J687" s="171"/>
    </row>
    <row r="688" spans="1:10" ht="19.5" customHeight="1">
      <c r="A688" s="167" t="s">
        <v>2803</v>
      </c>
      <c r="B688" s="168" t="str">
        <f>RIGHT("a12035562",LEN("a12035562")-1)</f>
        <v>12035562</v>
      </c>
      <c r="C688" s="169" t="s">
        <v>2804</v>
      </c>
      <c r="D688" s="170">
        <v>32765</v>
      </c>
      <c r="E688" s="169" t="s">
        <v>1533</v>
      </c>
      <c r="F688" s="168">
        <f t="shared" si="10"/>
      </c>
      <c r="G688" s="169" t="s">
        <v>1534</v>
      </c>
      <c r="H688" s="169" t="s">
        <v>857</v>
      </c>
      <c r="I688" s="169" t="s">
        <v>2772</v>
      </c>
      <c r="J688" s="171"/>
    </row>
    <row r="689" spans="1:10" ht="19.5" customHeight="1">
      <c r="A689" s="167" t="s">
        <v>2805</v>
      </c>
      <c r="B689" s="168" t="str">
        <f>RIGHT("a12035618",LEN("a12035618")-1)</f>
        <v>12035618</v>
      </c>
      <c r="C689" s="169" t="s">
        <v>2806</v>
      </c>
      <c r="D689" s="170">
        <v>32994</v>
      </c>
      <c r="E689" s="169" t="s">
        <v>1533</v>
      </c>
      <c r="F689" s="168">
        <f t="shared" si="10"/>
      </c>
      <c r="G689" s="169" t="s">
        <v>1534</v>
      </c>
      <c r="H689" s="169" t="s">
        <v>1650</v>
      </c>
      <c r="I689" s="169" t="s">
        <v>2807</v>
      </c>
      <c r="J689" s="171"/>
    </row>
    <row r="690" spans="1:10" ht="19.5" customHeight="1">
      <c r="A690" s="167" t="s">
        <v>2808</v>
      </c>
      <c r="B690" s="168" t="str">
        <f>RIGHT("a12035589",LEN("a12035589")-1)</f>
        <v>12035589</v>
      </c>
      <c r="C690" s="169" t="s">
        <v>2809</v>
      </c>
      <c r="D690" s="170">
        <v>33150</v>
      </c>
      <c r="E690" s="169" t="s">
        <v>1533</v>
      </c>
      <c r="F690" s="168">
        <f t="shared" si="10"/>
      </c>
      <c r="G690" s="169" t="s">
        <v>1534</v>
      </c>
      <c r="H690" s="169" t="s">
        <v>1650</v>
      </c>
      <c r="I690" s="169" t="s">
        <v>2807</v>
      </c>
      <c r="J690" s="171"/>
    </row>
    <row r="691" spans="1:10" ht="19.5" customHeight="1">
      <c r="A691" s="167" t="s">
        <v>2810</v>
      </c>
      <c r="B691" s="168" t="str">
        <f>RIGHT("a12035598",LEN("a12035598")-1)</f>
        <v>12035598</v>
      </c>
      <c r="C691" s="169" t="s">
        <v>1467</v>
      </c>
      <c r="D691" s="170">
        <v>31723</v>
      </c>
      <c r="E691" s="169" t="s">
        <v>1533</v>
      </c>
      <c r="F691" s="168">
        <f t="shared" si="10"/>
      </c>
      <c r="G691" s="169" t="s">
        <v>1534</v>
      </c>
      <c r="H691" s="169" t="s">
        <v>1650</v>
      </c>
      <c r="I691" s="169" t="s">
        <v>2807</v>
      </c>
      <c r="J691" s="171"/>
    </row>
    <row r="692" spans="1:10" ht="19.5" customHeight="1">
      <c r="A692" s="167" t="s">
        <v>2811</v>
      </c>
      <c r="B692" s="168" t="str">
        <f>RIGHT("a12035597",LEN("a12035597")-1)</f>
        <v>12035597</v>
      </c>
      <c r="C692" s="169" t="s">
        <v>2812</v>
      </c>
      <c r="D692" s="170">
        <v>32635</v>
      </c>
      <c r="E692" s="169" t="s">
        <v>1533</v>
      </c>
      <c r="F692" s="168">
        <f t="shared" si="10"/>
      </c>
      <c r="G692" s="169" t="s">
        <v>1534</v>
      </c>
      <c r="H692" s="169" t="s">
        <v>1650</v>
      </c>
      <c r="I692" s="169" t="s">
        <v>2807</v>
      </c>
      <c r="J692" s="171"/>
    </row>
    <row r="693" spans="1:10" ht="19.5" customHeight="1">
      <c r="A693" s="167" t="s">
        <v>2813</v>
      </c>
      <c r="B693" s="168" t="str">
        <f>RIGHT("a12035585",LEN("a12035585")-1)</f>
        <v>12035585</v>
      </c>
      <c r="C693" s="169" t="s">
        <v>2814</v>
      </c>
      <c r="D693" s="170">
        <v>32388</v>
      </c>
      <c r="E693" s="169" t="s">
        <v>95</v>
      </c>
      <c r="F693" s="168">
        <f t="shared" si="10"/>
      </c>
      <c r="G693" s="169" t="s">
        <v>1534</v>
      </c>
      <c r="H693" s="169" t="s">
        <v>1650</v>
      </c>
      <c r="I693" s="169" t="s">
        <v>2807</v>
      </c>
      <c r="J693" s="171"/>
    </row>
    <row r="694" spans="1:10" ht="19.5" customHeight="1">
      <c r="A694" s="167" t="s">
        <v>2815</v>
      </c>
      <c r="B694" s="168" t="str">
        <f>RIGHT("a12035610",LEN("a12035610")-1)</f>
        <v>12035610</v>
      </c>
      <c r="C694" s="169" t="s">
        <v>2816</v>
      </c>
      <c r="D694" s="170">
        <v>32725</v>
      </c>
      <c r="E694" s="169" t="s">
        <v>1533</v>
      </c>
      <c r="F694" s="168">
        <f t="shared" si="10"/>
      </c>
      <c r="G694" s="169" t="s">
        <v>1534</v>
      </c>
      <c r="H694" s="169" t="s">
        <v>1650</v>
      </c>
      <c r="I694" s="169" t="s">
        <v>2807</v>
      </c>
      <c r="J694" s="171"/>
    </row>
    <row r="695" spans="1:10" ht="19.5" customHeight="1">
      <c r="A695" s="167" t="s">
        <v>2817</v>
      </c>
      <c r="B695" s="168" t="str">
        <f>RIGHT("a12035586",LEN("a12035586")-1)</f>
        <v>12035586</v>
      </c>
      <c r="C695" s="169" t="s">
        <v>1841</v>
      </c>
      <c r="D695" s="170">
        <v>32375</v>
      </c>
      <c r="E695" s="169" t="s">
        <v>1533</v>
      </c>
      <c r="F695" s="168">
        <f t="shared" si="10"/>
      </c>
      <c r="G695" s="169" t="s">
        <v>1534</v>
      </c>
      <c r="H695" s="169" t="s">
        <v>1650</v>
      </c>
      <c r="I695" s="169" t="s">
        <v>2807</v>
      </c>
      <c r="J695" s="171"/>
    </row>
    <row r="696" spans="1:10" ht="19.5" customHeight="1">
      <c r="A696" s="167" t="s">
        <v>2818</v>
      </c>
      <c r="B696" s="168" t="str">
        <f>RIGHT("a12035593",LEN("a12035593")-1)</f>
        <v>12035593</v>
      </c>
      <c r="C696" s="169" t="s">
        <v>2819</v>
      </c>
      <c r="D696" s="170">
        <v>32837</v>
      </c>
      <c r="E696" s="169" t="s">
        <v>1533</v>
      </c>
      <c r="F696" s="168">
        <f t="shared" si="10"/>
      </c>
      <c r="G696" s="169" t="s">
        <v>1534</v>
      </c>
      <c r="H696" s="169" t="s">
        <v>1650</v>
      </c>
      <c r="I696" s="169" t="s">
        <v>2807</v>
      </c>
      <c r="J696" s="171"/>
    </row>
    <row r="697" spans="1:10" ht="19.5" customHeight="1">
      <c r="A697" s="167" t="s">
        <v>2820</v>
      </c>
      <c r="B697" s="168" t="str">
        <f>RIGHT("a12035587",LEN("a12035587")-1)</f>
        <v>12035587</v>
      </c>
      <c r="C697" s="169" t="s">
        <v>2821</v>
      </c>
      <c r="D697" s="170">
        <v>32846</v>
      </c>
      <c r="E697" s="169" t="s">
        <v>1533</v>
      </c>
      <c r="F697" s="168">
        <f t="shared" si="10"/>
      </c>
      <c r="G697" s="169" t="s">
        <v>1534</v>
      </c>
      <c r="H697" s="169" t="s">
        <v>1650</v>
      </c>
      <c r="I697" s="169" t="s">
        <v>2807</v>
      </c>
      <c r="J697" s="171"/>
    </row>
    <row r="698" spans="1:10" ht="19.5" customHeight="1">
      <c r="A698" s="167" t="s">
        <v>2822</v>
      </c>
      <c r="B698" s="168" t="str">
        <f>RIGHT("a12035611",LEN("a12035611")-1)</f>
        <v>12035611</v>
      </c>
      <c r="C698" s="169" t="s">
        <v>200</v>
      </c>
      <c r="D698" s="170">
        <v>32765</v>
      </c>
      <c r="E698" s="169" t="s">
        <v>1533</v>
      </c>
      <c r="F698" s="168">
        <f t="shared" si="10"/>
      </c>
      <c r="G698" s="169" t="s">
        <v>1534</v>
      </c>
      <c r="H698" s="169" t="s">
        <v>1650</v>
      </c>
      <c r="I698" s="169" t="s">
        <v>2807</v>
      </c>
      <c r="J698" s="171"/>
    </row>
    <row r="699" spans="1:10" ht="19.5" customHeight="1">
      <c r="A699" s="167" t="s">
        <v>2823</v>
      </c>
      <c r="B699" s="168" t="str">
        <f>RIGHT("a12035594",LEN("a12035594")-1)</f>
        <v>12035594</v>
      </c>
      <c r="C699" s="169" t="s">
        <v>2824</v>
      </c>
      <c r="D699" s="170">
        <v>32727</v>
      </c>
      <c r="E699" s="169" t="s">
        <v>1533</v>
      </c>
      <c r="F699" s="168">
        <f t="shared" si="10"/>
      </c>
      <c r="G699" s="169" t="s">
        <v>1534</v>
      </c>
      <c r="H699" s="169" t="s">
        <v>1650</v>
      </c>
      <c r="I699" s="169" t="s">
        <v>2807</v>
      </c>
      <c r="J699" s="171"/>
    </row>
    <row r="700" spans="1:10" ht="19.5" customHeight="1">
      <c r="A700" s="167" t="s">
        <v>2825</v>
      </c>
      <c r="B700" s="168" t="str">
        <f>RIGHT("a12035614",LEN("a12035614")-1)</f>
        <v>12035614</v>
      </c>
      <c r="C700" s="169" t="s">
        <v>2826</v>
      </c>
      <c r="D700" s="170">
        <v>29089</v>
      </c>
      <c r="E700" s="169" t="s">
        <v>95</v>
      </c>
      <c r="F700" s="168">
        <f t="shared" si="10"/>
      </c>
      <c r="G700" s="169" t="s">
        <v>1534</v>
      </c>
      <c r="H700" s="169" t="s">
        <v>1650</v>
      </c>
      <c r="I700" s="169" t="s">
        <v>2807</v>
      </c>
      <c r="J700" s="171"/>
    </row>
    <row r="701" spans="1:10" ht="19.5" customHeight="1">
      <c r="A701" s="167" t="s">
        <v>2827</v>
      </c>
      <c r="B701" s="168" t="str">
        <f>RIGHT("a12035191",LEN("a12035191")-1)</f>
        <v>12035191</v>
      </c>
      <c r="C701" s="169" t="s">
        <v>266</v>
      </c>
      <c r="D701" s="170">
        <v>32703</v>
      </c>
      <c r="E701" s="169" t="s">
        <v>1533</v>
      </c>
      <c r="F701" s="168">
        <f t="shared" si="10"/>
      </c>
      <c r="G701" s="169" t="s">
        <v>1534</v>
      </c>
      <c r="H701" s="169" t="s">
        <v>1650</v>
      </c>
      <c r="I701" s="169" t="s">
        <v>2807</v>
      </c>
      <c r="J701" s="171"/>
    </row>
    <row r="702" spans="1:10" ht="19.5" customHeight="1">
      <c r="A702" s="167" t="s">
        <v>2828</v>
      </c>
      <c r="B702" s="168" t="str">
        <f>RIGHT("a12035599",LEN("a12035599")-1)</f>
        <v>12035599</v>
      </c>
      <c r="C702" s="169" t="s">
        <v>2829</v>
      </c>
      <c r="D702" s="170">
        <v>32797</v>
      </c>
      <c r="E702" s="169" t="s">
        <v>1533</v>
      </c>
      <c r="F702" s="168">
        <f t="shared" si="10"/>
      </c>
      <c r="G702" s="169" t="s">
        <v>1534</v>
      </c>
      <c r="H702" s="169" t="s">
        <v>1650</v>
      </c>
      <c r="I702" s="169" t="s">
        <v>2807</v>
      </c>
      <c r="J702" s="171"/>
    </row>
    <row r="703" spans="1:10" ht="19.5" customHeight="1">
      <c r="A703" s="167" t="s">
        <v>2830</v>
      </c>
      <c r="B703" s="168" t="str">
        <f>RIGHT("a12035192",LEN("a12035192")-1)</f>
        <v>12035192</v>
      </c>
      <c r="C703" s="169" t="s">
        <v>2831</v>
      </c>
      <c r="D703" s="170">
        <v>32822</v>
      </c>
      <c r="E703" s="169" t="s">
        <v>1533</v>
      </c>
      <c r="F703" s="168">
        <f t="shared" si="10"/>
      </c>
      <c r="G703" s="169" t="s">
        <v>1534</v>
      </c>
      <c r="H703" s="169" t="s">
        <v>1650</v>
      </c>
      <c r="I703" s="169" t="s">
        <v>2807</v>
      </c>
      <c r="J703" s="171"/>
    </row>
    <row r="704" spans="1:10" ht="19.5" customHeight="1">
      <c r="A704" s="167" t="s">
        <v>2832</v>
      </c>
      <c r="B704" s="168" t="str">
        <f>RIGHT("a12035616",LEN("a12035616")-1)</f>
        <v>12035616</v>
      </c>
      <c r="C704" s="169" t="s">
        <v>2833</v>
      </c>
      <c r="D704" s="170">
        <v>32911</v>
      </c>
      <c r="E704" s="169" t="s">
        <v>1533</v>
      </c>
      <c r="F704" s="168">
        <f t="shared" si="10"/>
      </c>
      <c r="G704" s="169" t="s">
        <v>1534</v>
      </c>
      <c r="H704" s="169" t="s">
        <v>1650</v>
      </c>
      <c r="I704" s="169" t="s">
        <v>2807</v>
      </c>
      <c r="J704" s="171"/>
    </row>
    <row r="705" spans="1:10" ht="19.5" customHeight="1">
      <c r="A705" s="167" t="s">
        <v>2834</v>
      </c>
      <c r="B705" s="168" t="str">
        <f>RIGHT("a12035600",LEN("a12035600")-1)</f>
        <v>12035600</v>
      </c>
      <c r="C705" s="169" t="s">
        <v>1699</v>
      </c>
      <c r="D705" s="170">
        <v>33105</v>
      </c>
      <c r="E705" s="169" t="s">
        <v>1533</v>
      </c>
      <c r="F705" s="168">
        <f t="shared" si="10"/>
      </c>
      <c r="G705" s="169" t="s">
        <v>1534</v>
      </c>
      <c r="H705" s="169" t="s">
        <v>1650</v>
      </c>
      <c r="I705" s="169" t="s">
        <v>2807</v>
      </c>
      <c r="J705" s="171"/>
    </row>
    <row r="706" spans="1:10" ht="19.5" customHeight="1">
      <c r="A706" s="167" t="s">
        <v>2835</v>
      </c>
      <c r="B706" s="168" t="str">
        <f>RIGHT("a12035601",LEN("a12035601")-1)</f>
        <v>12035601</v>
      </c>
      <c r="C706" s="169" t="s">
        <v>413</v>
      </c>
      <c r="D706" s="170">
        <v>32351</v>
      </c>
      <c r="E706" s="169" t="s">
        <v>1533</v>
      </c>
      <c r="F706" s="168">
        <f aca="true" t="shared" si="11" ref="F706:F769">RIGHT("a",LEN("a")-1)</f>
      </c>
      <c r="G706" s="169" t="s">
        <v>1534</v>
      </c>
      <c r="H706" s="169" t="s">
        <v>1650</v>
      </c>
      <c r="I706" s="169" t="s">
        <v>2807</v>
      </c>
      <c r="J706" s="171"/>
    </row>
    <row r="707" spans="1:10" ht="19.5" customHeight="1">
      <c r="A707" s="167" t="s">
        <v>2836</v>
      </c>
      <c r="B707" s="168" t="str">
        <f>RIGHT("a12035615",LEN("a12035615")-1)</f>
        <v>12035615</v>
      </c>
      <c r="C707" s="169" t="s">
        <v>2837</v>
      </c>
      <c r="D707" s="170">
        <v>31330</v>
      </c>
      <c r="E707" s="169" t="s">
        <v>1533</v>
      </c>
      <c r="F707" s="168">
        <f t="shared" si="11"/>
      </c>
      <c r="G707" s="169" t="s">
        <v>1534</v>
      </c>
      <c r="H707" s="169" t="s">
        <v>1650</v>
      </c>
      <c r="I707" s="169" t="s">
        <v>2807</v>
      </c>
      <c r="J707" s="171"/>
    </row>
    <row r="708" spans="1:10" ht="19.5" customHeight="1">
      <c r="A708" s="167" t="s">
        <v>2838</v>
      </c>
      <c r="B708" s="168" t="str">
        <f>RIGHT("a12035193",LEN("a12035193")-1)</f>
        <v>12035193</v>
      </c>
      <c r="C708" s="169" t="s">
        <v>2839</v>
      </c>
      <c r="D708" s="170">
        <v>32443</v>
      </c>
      <c r="E708" s="169" t="s">
        <v>1533</v>
      </c>
      <c r="F708" s="168">
        <f t="shared" si="11"/>
      </c>
      <c r="G708" s="169" t="s">
        <v>1534</v>
      </c>
      <c r="H708" s="169" t="s">
        <v>1650</v>
      </c>
      <c r="I708" s="169" t="s">
        <v>2807</v>
      </c>
      <c r="J708" s="171"/>
    </row>
    <row r="709" spans="1:10" ht="19.5" customHeight="1">
      <c r="A709" s="167" t="s">
        <v>2840</v>
      </c>
      <c r="B709" s="168" t="str">
        <f>RIGHT("a12035595",LEN("a12035595")-1)</f>
        <v>12035595</v>
      </c>
      <c r="C709" s="169" t="s">
        <v>2841</v>
      </c>
      <c r="D709" s="170">
        <v>33209</v>
      </c>
      <c r="E709" s="169" t="s">
        <v>1533</v>
      </c>
      <c r="F709" s="168">
        <f t="shared" si="11"/>
      </c>
      <c r="G709" s="169" t="s">
        <v>1534</v>
      </c>
      <c r="H709" s="169" t="s">
        <v>1650</v>
      </c>
      <c r="I709" s="169" t="s">
        <v>2807</v>
      </c>
      <c r="J709" s="171"/>
    </row>
    <row r="710" spans="1:10" ht="19.5" customHeight="1">
      <c r="A710" s="167" t="s">
        <v>2842</v>
      </c>
      <c r="B710" s="168" t="str">
        <f>RIGHT("a12035194",LEN("a12035194")-1)</f>
        <v>12035194</v>
      </c>
      <c r="C710" s="169" t="s">
        <v>2843</v>
      </c>
      <c r="D710" s="170">
        <v>28059</v>
      </c>
      <c r="E710" s="169" t="s">
        <v>1533</v>
      </c>
      <c r="F710" s="168">
        <f t="shared" si="11"/>
      </c>
      <c r="G710" s="169" t="s">
        <v>1534</v>
      </c>
      <c r="H710" s="169" t="s">
        <v>1650</v>
      </c>
      <c r="I710" s="169" t="s">
        <v>2807</v>
      </c>
      <c r="J710" s="171"/>
    </row>
    <row r="711" spans="1:10" ht="19.5" customHeight="1">
      <c r="A711" s="167" t="s">
        <v>2844</v>
      </c>
      <c r="B711" s="168" t="str">
        <f>RIGHT("a12035619",LEN("a12035619")-1)</f>
        <v>12035619</v>
      </c>
      <c r="C711" s="169" t="s">
        <v>2845</v>
      </c>
      <c r="D711" s="170">
        <v>33043</v>
      </c>
      <c r="E711" s="169" t="s">
        <v>1533</v>
      </c>
      <c r="F711" s="168">
        <f t="shared" si="11"/>
      </c>
      <c r="G711" s="169" t="s">
        <v>1534</v>
      </c>
      <c r="H711" s="169" t="s">
        <v>1650</v>
      </c>
      <c r="I711" s="169" t="s">
        <v>2807</v>
      </c>
      <c r="J711" s="171"/>
    </row>
    <row r="712" spans="1:10" ht="19.5" customHeight="1">
      <c r="A712" s="167" t="s">
        <v>2846</v>
      </c>
      <c r="B712" s="168" t="str">
        <f>RIGHT("a12035195",LEN("a12035195")-1)</f>
        <v>12035195</v>
      </c>
      <c r="C712" s="169" t="s">
        <v>2847</v>
      </c>
      <c r="D712" s="170">
        <v>31208</v>
      </c>
      <c r="E712" s="169" t="s">
        <v>1533</v>
      </c>
      <c r="F712" s="168">
        <f t="shared" si="11"/>
      </c>
      <c r="G712" s="169" t="s">
        <v>1534</v>
      </c>
      <c r="H712" s="169" t="s">
        <v>1650</v>
      </c>
      <c r="I712" s="169" t="s">
        <v>2807</v>
      </c>
      <c r="J712" s="171"/>
    </row>
    <row r="713" spans="1:10" ht="19.5" customHeight="1">
      <c r="A713" s="167" t="s">
        <v>2848</v>
      </c>
      <c r="B713" s="168" t="str">
        <f>RIGHT("a12035617",LEN("a12035617")-1)</f>
        <v>12035617</v>
      </c>
      <c r="C713" s="169" t="s">
        <v>2849</v>
      </c>
      <c r="D713" s="170">
        <v>33163</v>
      </c>
      <c r="E713" s="169" t="s">
        <v>95</v>
      </c>
      <c r="F713" s="168">
        <f t="shared" si="11"/>
      </c>
      <c r="G713" s="169" t="s">
        <v>1534</v>
      </c>
      <c r="H713" s="169" t="s">
        <v>1650</v>
      </c>
      <c r="I713" s="169" t="s">
        <v>2807</v>
      </c>
      <c r="J713" s="171"/>
    </row>
    <row r="714" spans="1:10" ht="19.5" customHeight="1">
      <c r="A714" s="167" t="s">
        <v>2850</v>
      </c>
      <c r="B714" s="168" t="str">
        <f>RIGHT("a12035602",LEN("a12035602")-1)</f>
        <v>12035602</v>
      </c>
      <c r="C714" s="169" t="s">
        <v>2851</v>
      </c>
      <c r="D714" s="170">
        <v>32981</v>
      </c>
      <c r="E714" s="169" t="s">
        <v>95</v>
      </c>
      <c r="F714" s="168">
        <f t="shared" si="11"/>
      </c>
      <c r="G714" s="169" t="s">
        <v>1534</v>
      </c>
      <c r="H714" s="169" t="s">
        <v>1650</v>
      </c>
      <c r="I714" s="169" t="s">
        <v>2807</v>
      </c>
      <c r="J714" s="171"/>
    </row>
    <row r="715" spans="1:10" ht="19.5" customHeight="1">
      <c r="A715" s="167" t="s">
        <v>2852</v>
      </c>
      <c r="B715" s="168" t="str">
        <f>RIGHT("a12035606",LEN("a12035606")-1)</f>
        <v>12035606</v>
      </c>
      <c r="C715" s="169" t="s">
        <v>2853</v>
      </c>
      <c r="D715" s="170">
        <v>31823</v>
      </c>
      <c r="E715" s="169" t="s">
        <v>95</v>
      </c>
      <c r="F715" s="168">
        <f t="shared" si="11"/>
      </c>
      <c r="G715" s="169" t="s">
        <v>1534</v>
      </c>
      <c r="H715" s="169" t="s">
        <v>1650</v>
      </c>
      <c r="I715" s="169" t="s">
        <v>2807</v>
      </c>
      <c r="J715" s="171"/>
    </row>
    <row r="716" spans="1:10" ht="19.5" customHeight="1">
      <c r="A716" s="167" t="s">
        <v>2854</v>
      </c>
      <c r="B716" s="168" t="str">
        <f>RIGHT("a12035591",LEN("a12035591")-1)</f>
        <v>12035591</v>
      </c>
      <c r="C716" s="169" t="s">
        <v>2855</v>
      </c>
      <c r="D716" s="170">
        <v>32948</v>
      </c>
      <c r="E716" s="169" t="s">
        <v>1533</v>
      </c>
      <c r="F716" s="168">
        <f t="shared" si="11"/>
      </c>
      <c r="G716" s="169" t="s">
        <v>1534</v>
      </c>
      <c r="H716" s="169" t="s">
        <v>1650</v>
      </c>
      <c r="I716" s="169" t="s">
        <v>2807</v>
      </c>
      <c r="J716" s="171"/>
    </row>
    <row r="717" spans="1:10" ht="19.5" customHeight="1">
      <c r="A717" s="167" t="s">
        <v>2856</v>
      </c>
      <c r="B717" s="168" t="str">
        <f>RIGHT("a12035607",LEN("a12035607")-1)</f>
        <v>12035607</v>
      </c>
      <c r="C717" s="169" t="s">
        <v>2857</v>
      </c>
      <c r="D717" s="170">
        <v>33085</v>
      </c>
      <c r="E717" s="169" t="s">
        <v>1533</v>
      </c>
      <c r="F717" s="168">
        <f t="shared" si="11"/>
      </c>
      <c r="G717" s="169" t="s">
        <v>1534</v>
      </c>
      <c r="H717" s="169" t="s">
        <v>1650</v>
      </c>
      <c r="I717" s="169" t="s">
        <v>2807</v>
      </c>
      <c r="J717" s="171"/>
    </row>
    <row r="718" spans="1:10" ht="19.5" customHeight="1">
      <c r="A718" s="167" t="s">
        <v>2858</v>
      </c>
      <c r="B718" s="168" t="str">
        <f>RIGHT("a12035603",LEN("a12035603")-1)</f>
        <v>12035603</v>
      </c>
      <c r="C718" s="169" t="s">
        <v>2859</v>
      </c>
      <c r="D718" s="170">
        <v>32987</v>
      </c>
      <c r="E718" s="169" t="s">
        <v>1533</v>
      </c>
      <c r="F718" s="168">
        <f t="shared" si="11"/>
      </c>
      <c r="G718" s="169" t="s">
        <v>1534</v>
      </c>
      <c r="H718" s="169" t="s">
        <v>1650</v>
      </c>
      <c r="I718" s="169" t="s">
        <v>2807</v>
      </c>
      <c r="J718" s="171"/>
    </row>
    <row r="719" spans="1:10" ht="19.5" customHeight="1">
      <c r="A719" s="167" t="s">
        <v>2860</v>
      </c>
      <c r="B719" s="168" t="str">
        <f>RIGHT("a12035612",LEN("a12035612")-1)</f>
        <v>12035612</v>
      </c>
      <c r="C719" s="169" t="s">
        <v>2861</v>
      </c>
      <c r="D719" s="170">
        <v>31774</v>
      </c>
      <c r="E719" s="169" t="s">
        <v>1533</v>
      </c>
      <c r="F719" s="168">
        <f t="shared" si="11"/>
      </c>
      <c r="G719" s="169" t="s">
        <v>1534</v>
      </c>
      <c r="H719" s="169" t="s">
        <v>1650</v>
      </c>
      <c r="I719" s="169" t="s">
        <v>2807</v>
      </c>
      <c r="J719" s="171"/>
    </row>
    <row r="720" spans="1:10" ht="19.5" customHeight="1">
      <c r="A720" s="167" t="s">
        <v>2862</v>
      </c>
      <c r="B720" s="168" t="str">
        <f>RIGHT("a12035596",LEN("a12035596")-1)</f>
        <v>12035596</v>
      </c>
      <c r="C720" s="169" t="s">
        <v>2863</v>
      </c>
      <c r="D720" s="170">
        <v>33007</v>
      </c>
      <c r="E720" s="169" t="s">
        <v>95</v>
      </c>
      <c r="F720" s="168">
        <f t="shared" si="11"/>
      </c>
      <c r="G720" s="169" t="s">
        <v>1534</v>
      </c>
      <c r="H720" s="169" t="s">
        <v>1650</v>
      </c>
      <c r="I720" s="169" t="s">
        <v>2807</v>
      </c>
      <c r="J720" s="171"/>
    </row>
    <row r="721" spans="1:10" ht="19.5" customHeight="1">
      <c r="A721" s="167" t="s">
        <v>2864</v>
      </c>
      <c r="B721" s="168" t="str">
        <f>RIGHT("a12035590",LEN("a12035590")-1)</f>
        <v>12035590</v>
      </c>
      <c r="C721" s="169" t="s">
        <v>2865</v>
      </c>
      <c r="D721" s="170">
        <v>31564</v>
      </c>
      <c r="E721" s="169" t="s">
        <v>95</v>
      </c>
      <c r="F721" s="168">
        <f t="shared" si="11"/>
      </c>
      <c r="G721" s="169" t="s">
        <v>1534</v>
      </c>
      <c r="H721" s="169" t="s">
        <v>1650</v>
      </c>
      <c r="I721" s="169" t="s">
        <v>2807</v>
      </c>
      <c r="J721" s="171"/>
    </row>
    <row r="722" spans="1:10" ht="19.5" customHeight="1">
      <c r="A722" s="167" t="s">
        <v>2866</v>
      </c>
      <c r="B722" s="168" t="str">
        <f>RIGHT("a12035592",LEN("a12035592")-1)</f>
        <v>12035592</v>
      </c>
      <c r="C722" s="169" t="s">
        <v>2867</v>
      </c>
      <c r="D722" s="170">
        <v>32536</v>
      </c>
      <c r="E722" s="169" t="s">
        <v>1533</v>
      </c>
      <c r="F722" s="168">
        <f t="shared" si="11"/>
      </c>
      <c r="G722" s="169" t="s">
        <v>1534</v>
      </c>
      <c r="H722" s="169" t="s">
        <v>1650</v>
      </c>
      <c r="I722" s="169" t="s">
        <v>2807</v>
      </c>
      <c r="J722" s="171"/>
    </row>
    <row r="723" spans="1:10" ht="19.5" customHeight="1">
      <c r="A723" s="167" t="s">
        <v>2868</v>
      </c>
      <c r="B723" s="168" t="str">
        <f>RIGHT("a12035604",LEN("a12035604")-1)</f>
        <v>12035604</v>
      </c>
      <c r="C723" s="169" t="s">
        <v>2869</v>
      </c>
      <c r="D723" s="170">
        <v>33066</v>
      </c>
      <c r="E723" s="169" t="s">
        <v>1533</v>
      </c>
      <c r="F723" s="168">
        <f t="shared" si="11"/>
      </c>
      <c r="G723" s="169" t="s">
        <v>1534</v>
      </c>
      <c r="H723" s="169" t="s">
        <v>1650</v>
      </c>
      <c r="I723" s="169" t="s">
        <v>2807</v>
      </c>
      <c r="J723" s="171"/>
    </row>
    <row r="724" spans="1:10" ht="19.5" customHeight="1">
      <c r="A724" s="167" t="s">
        <v>2870</v>
      </c>
      <c r="B724" s="168" t="str">
        <f>RIGHT("a12035608",LEN("a12035608")-1)</f>
        <v>12035608</v>
      </c>
      <c r="C724" s="169" t="s">
        <v>2871</v>
      </c>
      <c r="D724" s="170">
        <v>29708</v>
      </c>
      <c r="E724" s="169" t="s">
        <v>95</v>
      </c>
      <c r="F724" s="168">
        <f t="shared" si="11"/>
      </c>
      <c r="G724" s="169" t="s">
        <v>1534</v>
      </c>
      <c r="H724" s="169" t="s">
        <v>1650</v>
      </c>
      <c r="I724" s="169" t="s">
        <v>2807</v>
      </c>
      <c r="J724" s="171"/>
    </row>
    <row r="725" spans="1:10" ht="19.5" customHeight="1">
      <c r="A725" s="167" t="s">
        <v>2872</v>
      </c>
      <c r="B725" s="168" t="str">
        <f>RIGHT("a12035609",LEN("a12035609")-1)</f>
        <v>12035609</v>
      </c>
      <c r="C725" s="169" t="s">
        <v>2873</v>
      </c>
      <c r="D725" s="170">
        <v>32545</v>
      </c>
      <c r="E725" s="169" t="s">
        <v>95</v>
      </c>
      <c r="F725" s="168">
        <f t="shared" si="11"/>
      </c>
      <c r="G725" s="169" t="s">
        <v>1534</v>
      </c>
      <c r="H725" s="169" t="s">
        <v>1650</v>
      </c>
      <c r="I725" s="169" t="s">
        <v>2807</v>
      </c>
      <c r="J725" s="171"/>
    </row>
    <row r="726" spans="1:10" ht="19.5" customHeight="1">
      <c r="A726" s="167" t="s">
        <v>2874</v>
      </c>
      <c r="B726" s="168" t="str">
        <f>RIGHT("a12035605",LEN("a12035605")-1)</f>
        <v>12035605</v>
      </c>
      <c r="C726" s="169" t="s">
        <v>2875</v>
      </c>
      <c r="D726" s="170">
        <v>26626</v>
      </c>
      <c r="E726" s="169" t="s">
        <v>95</v>
      </c>
      <c r="F726" s="168">
        <f t="shared" si="11"/>
      </c>
      <c r="G726" s="169" t="s">
        <v>1534</v>
      </c>
      <c r="H726" s="169" t="s">
        <v>1650</v>
      </c>
      <c r="I726" s="169" t="s">
        <v>2807</v>
      </c>
      <c r="J726" s="171"/>
    </row>
    <row r="727" spans="1:10" ht="19.5" customHeight="1">
      <c r="A727" s="167" t="s">
        <v>2876</v>
      </c>
      <c r="B727" s="168" t="str">
        <f>RIGHT("a12035588",LEN("a12035588")-1)</f>
        <v>12035588</v>
      </c>
      <c r="C727" s="169" t="s">
        <v>2877</v>
      </c>
      <c r="D727" s="170">
        <v>32415</v>
      </c>
      <c r="E727" s="169" t="s">
        <v>1533</v>
      </c>
      <c r="F727" s="168">
        <f t="shared" si="11"/>
      </c>
      <c r="G727" s="169" t="s">
        <v>1534</v>
      </c>
      <c r="H727" s="169" t="s">
        <v>1650</v>
      </c>
      <c r="I727" s="169" t="s">
        <v>2807</v>
      </c>
      <c r="J727" s="171"/>
    </row>
    <row r="728" spans="1:10" ht="19.5" customHeight="1">
      <c r="A728" s="167" t="s">
        <v>2878</v>
      </c>
      <c r="B728" s="168" t="str">
        <f>RIGHT("a12035613",LEN("a12035613")-1)</f>
        <v>12035613</v>
      </c>
      <c r="C728" s="169" t="s">
        <v>2307</v>
      </c>
      <c r="D728" s="170">
        <v>31802</v>
      </c>
      <c r="E728" s="169" t="s">
        <v>1533</v>
      </c>
      <c r="F728" s="168">
        <f t="shared" si="11"/>
      </c>
      <c r="G728" s="169" t="s">
        <v>1534</v>
      </c>
      <c r="H728" s="169" t="s">
        <v>1650</v>
      </c>
      <c r="I728" s="169" t="s">
        <v>2807</v>
      </c>
      <c r="J728" s="171"/>
    </row>
    <row r="729" spans="1:10" ht="19.5" customHeight="1">
      <c r="A729" s="167" t="s">
        <v>2879</v>
      </c>
      <c r="B729" s="168" t="str">
        <f>RIGHT("a12035420",LEN("a12035420")-1)</f>
        <v>12035420</v>
      </c>
      <c r="C729" s="169" t="s">
        <v>2880</v>
      </c>
      <c r="D729" s="170">
        <v>30236</v>
      </c>
      <c r="E729" s="169" t="s">
        <v>1533</v>
      </c>
      <c r="F729" s="168">
        <f t="shared" si="11"/>
      </c>
      <c r="G729" s="169" t="s">
        <v>1534</v>
      </c>
      <c r="H729" s="169" t="s">
        <v>2881</v>
      </c>
      <c r="I729" s="169" t="s">
        <v>2882</v>
      </c>
      <c r="J729" s="171"/>
    </row>
    <row r="730" spans="1:10" ht="19.5" customHeight="1">
      <c r="A730" s="167" t="s">
        <v>2883</v>
      </c>
      <c r="B730" s="168" t="str">
        <f>RIGHT("a12035103",LEN("a12035103")-1)</f>
        <v>12035103</v>
      </c>
      <c r="C730" s="169" t="s">
        <v>2884</v>
      </c>
      <c r="D730" s="170">
        <v>31014</v>
      </c>
      <c r="E730" s="169" t="s">
        <v>95</v>
      </c>
      <c r="F730" s="168">
        <f t="shared" si="11"/>
      </c>
      <c r="G730" s="169" t="s">
        <v>1534</v>
      </c>
      <c r="H730" s="169" t="s">
        <v>2881</v>
      </c>
      <c r="I730" s="169" t="s">
        <v>2882</v>
      </c>
      <c r="J730" s="171"/>
    </row>
    <row r="731" spans="1:10" ht="19.5" customHeight="1">
      <c r="A731" s="167" t="s">
        <v>2885</v>
      </c>
      <c r="B731" s="168" t="str">
        <f>RIGHT("a12035104",LEN("a12035104")-1)</f>
        <v>12035104</v>
      </c>
      <c r="C731" s="169" t="s">
        <v>2618</v>
      </c>
      <c r="D731" s="170">
        <v>33231</v>
      </c>
      <c r="E731" s="169" t="s">
        <v>1533</v>
      </c>
      <c r="F731" s="168">
        <f t="shared" si="11"/>
      </c>
      <c r="G731" s="169" t="s">
        <v>1534</v>
      </c>
      <c r="H731" s="169" t="s">
        <v>2881</v>
      </c>
      <c r="I731" s="169" t="s">
        <v>2882</v>
      </c>
      <c r="J731" s="171"/>
    </row>
    <row r="732" spans="1:10" ht="19.5" customHeight="1">
      <c r="A732" s="167" t="s">
        <v>2886</v>
      </c>
      <c r="B732" s="168" t="str">
        <f>RIGHT("a12035105",LEN("a12035105")-1)</f>
        <v>12035105</v>
      </c>
      <c r="C732" s="169" t="s">
        <v>2887</v>
      </c>
      <c r="D732" s="170">
        <v>31340</v>
      </c>
      <c r="E732" s="169" t="s">
        <v>1533</v>
      </c>
      <c r="F732" s="168">
        <f t="shared" si="11"/>
      </c>
      <c r="G732" s="169" t="s">
        <v>1534</v>
      </c>
      <c r="H732" s="169" t="s">
        <v>2881</v>
      </c>
      <c r="I732" s="169" t="s">
        <v>2882</v>
      </c>
      <c r="J732" s="171"/>
    </row>
    <row r="733" spans="1:10" ht="19.5" customHeight="1">
      <c r="A733" s="167" t="s">
        <v>2888</v>
      </c>
      <c r="B733" s="168" t="str">
        <f>RIGHT("a12035423",LEN("a12035423")-1)</f>
        <v>12035423</v>
      </c>
      <c r="C733" s="169" t="s">
        <v>2889</v>
      </c>
      <c r="D733" s="170">
        <v>32629</v>
      </c>
      <c r="E733" s="169" t="s">
        <v>1533</v>
      </c>
      <c r="F733" s="168">
        <f t="shared" si="11"/>
      </c>
      <c r="G733" s="169" t="s">
        <v>1534</v>
      </c>
      <c r="H733" s="169" t="s">
        <v>2881</v>
      </c>
      <c r="I733" s="169" t="s">
        <v>2882</v>
      </c>
      <c r="J733" s="171"/>
    </row>
    <row r="734" spans="1:10" ht="19.5" customHeight="1">
      <c r="A734" s="167" t="s">
        <v>2890</v>
      </c>
      <c r="B734" s="168" t="str">
        <f>RIGHT("a12035106",LEN("a12035106")-1)</f>
        <v>12035106</v>
      </c>
      <c r="C734" s="169" t="s">
        <v>2891</v>
      </c>
      <c r="D734" s="170">
        <v>32946</v>
      </c>
      <c r="E734" s="169" t="s">
        <v>1533</v>
      </c>
      <c r="F734" s="168">
        <f t="shared" si="11"/>
      </c>
      <c r="G734" s="169" t="s">
        <v>1534</v>
      </c>
      <c r="H734" s="169" t="s">
        <v>2881</v>
      </c>
      <c r="I734" s="169" t="s">
        <v>2882</v>
      </c>
      <c r="J734" s="171"/>
    </row>
    <row r="735" spans="1:10" ht="19.5" customHeight="1">
      <c r="A735" s="167" t="s">
        <v>2892</v>
      </c>
      <c r="B735" s="168" t="str">
        <f>RIGHT("a12035107",LEN("a12035107")-1)</f>
        <v>12035107</v>
      </c>
      <c r="C735" s="169" t="s">
        <v>1414</v>
      </c>
      <c r="D735" s="170">
        <v>32792</v>
      </c>
      <c r="E735" s="169" t="s">
        <v>1533</v>
      </c>
      <c r="F735" s="168">
        <f t="shared" si="11"/>
      </c>
      <c r="G735" s="169" t="s">
        <v>1534</v>
      </c>
      <c r="H735" s="169" t="s">
        <v>2881</v>
      </c>
      <c r="I735" s="169" t="s">
        <v>2882</v>
      </c>
      <c r="J735" s="171"/>
    </row>
    <row r="736" spans="1:10" ht="19.5" customHeight="1">
      <c r="A736" s="167" t="s">
        <v>2893</v>
      </c>
      <c r="B736" s="168" t="str">
        <f>RIGHT("a12035108",LEN("a12035108")-1)</f>
        <v>12035108</v>
      </c>
      <c r="C736" s="169" t="s">
        <v>2894</v>
      </c>
      <c r="D736" s="170">
        <v>33194</v>
      </c>
      <c r="E736" s="169" t="s">
        <v>1533</v>
      </c>
      <c r="F736" s="168">
        <f t="shared" si="11"/>
      </c>
      <c r="G736" s="169" t="s">
        <v>1534</v>
      </c>
      <c r="H736" s="169" t="s">
        <v>2881</v>
      </c>
      <c r="I736" s="169" t="s">
        <v>2882</v>
      </c>
      <c r="J736" s="171"/>
    </row>
    <row r="737" spans="1:10" ht="19.5" customHeight="1">
      <c r="A737" s="167" t="s">
        <v>2895</v>
      </c>
      <c r="B737" s="168" t="str">
        <f>RIGHT("a12035425",LEN("a12035425")-1)</f>
        <v>12035425</v>
      </c>
      <c r="C737" s="169" t="s">
        <v>157</v>
      </c>
      <c r="D737" s="170">
        <v>32174</v>
      </c>
      <c r="E737" s="169" t="s">
        <v>1533</v>
      </c>
      <c r="F737" s="168">
        <f t="shared" si="11"/>
      </c>
      <c r="G737" s="169" t="s">
        <v>1534</v>
      </c>
      <c r="H737" s="169" t="s">
        <v>2881</v>
      </c>
      <c r="I737" s="169" t="s">
        <v>2882</v>
      </c>
      <c r="J737" s="171"/>
    </row>
    <row r="738" spans="1:10" ht="19.5" customHeight="1">
      <c r="A738" s="167" t="s">
        <v>2896</v>
      </c>
      <c r="B738" s="168" t="str">
        <f>RIGHT("a12035109",LEN("a12035109")-1)</f>
        <v>12035109</v>
      </c>
      <c r="C738" s="169" t="s">
        <v>2897</v>
      </c>
      <c r="D738" s="170">
        <v>32036</v>
      </c>
      <c r="E738" s="169" t="s">
        <v>1533</v>
      </c>
      <c r="F738" s="168">
        <f t="shared" si="11"/>
      </c>
      <c r="G738" s="169" t="s">
        <v>1534</v>
      </c>
      <c r="H738" s="169" t="s">
        <v>2881</v>
      </c>
      <c r="I738" s="169" t="s">
        <v>2882</v>
      </c>
      <c r="J738" s="171"/>
    </row>
    <row r="739" spans="1:10" ht="19.5" customHeight="1">
      <c r="A739" s="167" t="s">
        <v>2898</v>
      </c>
      <c r="B739" s="168" t="str">
        <f>RIGHT("a12035424",LEN("a12035424")-1)</f>
        <v>12035424</v>
      </c>
      <c r="C739" s="169" t="s">
        <v>2899</v>
      </c>
      <c r="D739" s="170">
        <v>29537</v>
      </c>
      <c r="E739" s="169" t="s">
        <v>1533</v>
      </c>
      <c r="F739" s="168">
        <f t="shared" si="11"/>
      </c>
      <c r="G739" s="169" t="s">
        <v>1534</v>
      </c>
      <c r="H739" s="169" t="s">
        <v>2881</v>
      </c>
      <c r="I739" s="169" t="s">
        <v>2882</v>
      </c>
      <c r="J739" s="171"/>
    </row>
    <row r="740" spans="1:10" ht="19.5" customHeight="1">
      <c r="A740" s="167" t="s">
        <v>2900</v>
      </c>
      <c r="B740" s="168" t="str">
        <f>RIGHT("a12035421",LEN("a12035421")-1)</f>
        <v>12035421</v>
      </c>
      <c r="C740" s="169" t="s">
        <v>2901</v>
      </c>
      <c r="D740" s="170">
        <v>33173</v>
      </c>
      <c r="E740" s="169" t="s">
        <v>1533</v>
      </c>
      <c r="F740" s="168">
        <f t="shared" si="11"/>
      </c>
      <c r="G740" s="169" t="s">
        <v>1534</v>
      </c>
      <c r="H740" s="169" t="s">
        <v>2881</v>
      </c>
      <c r="I740" s="169" t="s">
        <v>2882</v>
      </c>
      <c r="J740" s="171"/>
    </row>
    <row r="741" spans="1:10" ht="19.5" customHeight="1">
      <c r="A741" s="167" t="s">
        <v>2902</v>
      </c>
      <c r="B741" s="168" t="str">
        <f>RIGHT("a12035422",LEN("a12035422")-1)</f>
        <v>12035422</v>
      </c>
      <c r="C741" s="169" t="s">
        <v>2903</v>
      </c>
      <c r="D741" s="170">
        <v>29876</v>
      </c>
      <c r="E741" s="169" t="s">
        <v>1533</v>
      </c>
      <c r="F741" s="168">
        <f t="shared" si="11"/>
      </c>
      <c r="G741" s="169" t="s">
        <v>1534</v>
      </c>
      <c r="H741" s="169" t="s">
        <v>2881</v>
      </c>
      <c r="I741" s="169" t="s">
        <v>2882</v>
      </c>
      <c r="J741" s="171"/>
    </row>
    <row r="742" spans="1:10" ht="19.5" customHeight="1">
      <c r="A742" s="167" t="s">
        <v>2904</v>
      </c>
      <c r="B742" s="168" t="str">
        <f>RIGHT("a12035417",LEN("a12035417")-1)</f>
        <v>12035417</v>
      </c>
      <c r="C742" s="169" t="s">
        <v>2905</v>
      </c>
      <c r="D742" s="170">
        <v>32922</v>
      </c>
      <c r="E742" s="169" t="s">
        <v>1533</v>
      </c>
      <c r="F742" s="168">
        <f t="shared" si="11"/>
      </c>
      <c r="G742" s="169" t="s">
        <v>1534</v>
      </c>
      <c r="H742" s="169" t="s">
        <v>2881</v>
      </c>
      <c r="I742" s="169" t="s">
        <v>2882</v>
      </c>
      <c r="J742" s="171"/>
    </row>
    <row r="743" spans="1:10" ht="19.5" customHeight="1">
      <c r="A743" s="167" t="s">
        <v>2906</v>
      </c>
      <c r="B743" s="168" t="str">
        <f>RIGHT("a12035110",LEN("a12035110")-1)</f>
        <v>12035110</v>
      </c>
      <c r="C743" s="169" t="s">
        <v>2907</v>
      </c>
      <c r="D743" s="170">
        <v>32235</v>
      </c>
      <c r="E743" s="169" t="s">
        <v>1533</v>
      </c>
      <c r="F743" s="168">
        <f t="shared" si="11"/>
      </c>
      <c r="G743" s="169" t="s">
        <v>1534</v>
      </c>
      <c r="H743" s="169" t="s">
        <v>2881</v>
      </c>
      <c r="I743" s="169" t="s">
        <v>2882</v>
      </c>
      <c r="J743" s="171"/>
    </row>
    <row r="744" spans="1:10" ht="19.5" customHeight="1">
      <c r="A744" s="167" t="s">
        <v>2908</v>
      </c>
      <c r="B744" s="168" t="str">
        <f>RIGHT("a12035427",LEN("a12035427")-1)</f>
        <v>12035427</v>
      </c>
      <c r="C744" s="169" t="s">
        <v>2909</v>
      </c>
      <c r="D744" s="170">
        <v>32596</v>
      </c>
      <c r="E744" s="169" t="s">
        <v>1533</v>
      </c>
      <c r="F744" s="168">
        <f t="shared" si="11"/>
      </c>
      <c r="G744" s="169" t="s">
        <v>1534</v>
      </c>
      <c r="H744" s="169" t="s">
        <v>2881</v>
      </c>
      <c r="I744" s="169" t="s">
        <v>2882</v>
      </c>
      <c r="J744" s="171"/>
    </row>
    <row r="745" spans="1:10" ht="19.5" customHeight="1">
      <c r="A745" s="167" t="s">
        <v>2910</v>
      </c>
      <c r="B745" s="168" t="str">
        <f>RIGHT("a12035111",LEN("a12035111")-1)</f>
        <v>12035111</v>
      </c>
      <c r="C745" s="169" t="s">
        <v>2911</v>
      </c>
      <c r="D745" s="170">
        <v>31966</v>
      </c>
      <c r="E745" s="169" t="s">
        <v>1533</v>
      </c>
      <c r="F745" s="168">
        <f t="shared" si="11"/>
      </c>
      <c r="G745" s="169" t="s">
        <v>1534</v>
      </c>
      <c r="H745" s="169" t="s">
        <v>2881</v>
      </c>
      <c r="I745" s="169" t="s">
        <v>2882</v>
      </c>
      <c r="J745" s="171"/>
    </row>
    <row r="746" spans="1:10" ht="19.5" customHeight="1">
      <c r="A746" s="167" t="s">
        <v>2912</v>
      </c>
      <c r="B746" s="168" t="str">
        <f>RIGHT("a12035692",LEN("a12035692")-1)</f>
        <v>12035692</v>
      </c>
      <c r="C746" s="169" t="s">
        <v>2913</v>
      </c>
      <c r="D746" s="170">
        <v>29374</v>
      </c>
      <c r="E746" s="169" t="s">
        <v>1533</v>
      </c>
      <c r="F746" s="168">
        <f t="shared" si="11"/>
      </c>
      <c r="G746" s="169" t="s">
        <v>1534</v>
      </c>
      <c r="H746" s="169" t="s">
        <v>2881</v>
      </c>
      <c r="I746" s="169" t="s">
        <v>2882</v>
      </c>
      <c r="J746" s="171"/>
    </row>
    <row r="747" spans="1:10" ht="19.5" customHeight="1">
      <c r="A747" s="167" t="s">
        <v>2914</v>
      </c>
      <c r="B747" s="168" t="str">
        <f>RIGHT("a12035418",LEN("a12035418")-1)</f>
        <v>12035418</v>
      </c>
      <c r="C747" s="169" t="s">
        <v>2915</v>
      </c>
      <c r="D747" s="170">
        <v>33104</v>
      </c>
      <c r="E747" s="169" t="s">
        <v>95</v>
      </c>
      <c r="F747" s="168">
        <f t="shared" si="11"/>
      </c>
      <c r="G747" s="169" t="s">
        <v>1534</v>
      </c>
      <c r="H747" s="169" t="s">
        <v>2881</v>
      </c>
      <c r="I747" s="169" t="s">
        <v>2882</v>
      </c>
      <c r="J747" s="171"/>
    </row>
    <row r="748" spans="1:10" ht="19.5" customHeight="1">
      <c r="A748" s="167" t="s">
        <v>2916</v>
      </c>
      <c r="B748" s="168" t="str">
        <f>RIGHT("a12035112",LEN("a12035112")-1)</f>
        <v>12035112</v>
      </c>
      <c r="C748" s="169" t="s">
        <v>2917</v>
      </c>
      <c r="D748" s="170">
        <v>30804</v>
      </c>
      <c r="E748" s="169" t="s">
        <v>1533</v>
      </c>
      <c r="F748" s="168">
        <f t="shared" si="11"/>
      </c>
      <c r="G748" s="169" t="s">
        <v>1534</v>
      </c>
      <c r="H748" s="169" t="s">
        <v>2881</v>
      </c>
      <c r="I748" s="169" t="s">
        <v>2882</v>
      </c>
      <c r="J748" s="171"/>
    </row>
    <row r="749" spans="1:10" ht="19.5" customHeight="1">
      <c r="A749" s="167" t="s">
        <v>2918</v>
      </c>
      <c r="B749" s="168" t="str">
        <f>RIGHT("a12035419",LEN("a12035419")-1)</f>
        <v>12035419</v>
      </c>
      <c r="C749" s="169" t="s">
        <v>2919</v>
      </c>
      <c r="D749" s="170">
        <v>28834</v>
      </c>
      <c r="E749" s="169" t="s">
        <v>1533</v>
      </c>
      <c r="F749" s="168">
        <f t="shared" si="11"/>
      </c>
      <c r="G749" s="169" t="s">
        <v>1534</v>
      </c>
      <c r="H749" s="169" t="s">
        <v>2881</v>
      </c>
      <c r="I749" s="169" t="s">
        <v>2882</v>
      </c>
      <c r="J749" s="171"/>
    </row>
    <row r="750" spans="1:10" ht="19.5" customHeight="1">
      <c r="A750" s="167" t="s">
        <v>2920</v>
      </c>
      <c r="B750" s="168" t="str">
        <f>RIGHT("a12035113",LEN("a12035113")-1)</f>
        <v>12035113</v>
      </c>
      <c r="C750" s="169" t="s">
        <v>2921</v>
      </c>
      <c r="D750" s="170">
        <v>32807</v>
      </c>
      <c r="E750" s="169" t="s">
        <v>1533</v>
      </c>
      <c r="F750" s="168">
        <f t="shared" si="11"/>
      </c>
      <c r="G750" s="169" t="s">
        <v>1534</v>
      </c>
      <c r="H750" s="169" t="s">
        <v>2881</v>
      </c>
      <c r="I750" s="169" t="s">
        <v>2882</v>
      </c>
      <c r="J750" s="171"/>
    </row>
    <row r="751" spans="1:10" ht="19.5" customHeight="1">
      <c r="A751" s="167" t="s">
        <v>2922</v>
      </c>
      <c r="B751" s="168" t="str">
        <f>RIGHT("a12035426",LEN("a12035426")-1)</f>
        <v>12035426</v>
      </c>
      <c r="C751" s="169" t="s">
        <v>2923</v>
      </c>
      <c r="D751" s="170">
        <v>32468</v>
      </c>
      <c r="E751" s="169" t="s">
        <v>1533</v>
      </c>
      <c r="F751" s="168">
        <f t="shared" si="11"/>
      </c>
      <c r="G751" s="169" t="s">
        <v>1534</v>
      </c>
      <c r="H751" s="169" t="s">
        <v>2881</v>
      </c>
      <c r="I751" s="169" t="s">
        <v>2882</v>
      </c>
      <c r="J751" s="171"/>
    </row>
    <row r="752" spans="1:10" ht="19.5" customHeight="1">
      <c r="A752" s="167" t="s">
        <v>2924</v>
      </c>
      <c r="B752" s="168" t="str">
        <f>RIGHT("a12035896",LEN("a12035896")-1)</f>
        <v>12035896</v>
      </c>
      <c r="C752" s="169" t="s">
        <v>2925</v>
      </c>
      <c r="D752" s="170">
        <v>29129</v>
      </c>
      <c r="E752" s="169" t="s">
        <v>1533</v>
      </c>
      <c r="F752" s="168">
        <f t="shared" si="11"/>
      </c>
      <c r="G752" s="169" t="s">
        <v>1534</v>
      </c>
      <c r="H752" s="169" t="s">
        <v>2881</v>
      </c>
      <c r="I752" s="169" t="s">
        <v>2926</v>
      </c>
      <c r="J752" s="171"/>
    </row>
    <row r="753" spans="1:10" ht="19.5" customHeight="1">
      <c r="A753" s="167" t="s">
        <v>2927</v>
      </c>
      <c r="B753" s="168" t="str">
        <f>RIGHT("a12035897",LEN("a12035897")-1)</f>
        <v>12035897</v>
      </c>
      <c r="C753" s="169" t="s">
        <v>2928</v>
      </c>
      <c r="D753" s="170">
        <v>30406</v>
      </c>
      <c r="E753" s="169" t="s">
        <v>1533</v>
      </c>
      <c r="F753" s="168">
        <f t="shared" si="11"/>
      </c>
      <c r="G753" s="169" t="s">
        <v>1534</v>
      </c>
      <c r="H753" s="169" t="s">
        <v>2881</v>
      </c>
      <c r="I753" s="169" t="s">
        <v>2926</v>
      </c>
      <c r="J753" s="171"/>
    </row>
    <row r="754" spans="1:10" ht="19.5" customHeight="1">
      <c r="A754" s="167" t="s">
        <v>2929</v>
      </c>
      <c r="B754" s="168" t="str">
        <f>RIGHT("a12035898",LEN("a12035898")-1)</f>
        <v>12035898</v>
      </c>
      <c r="C754" s="169" t="s">
        <v>2930</v>
      </c>
      <c r="D754" s="170">
        <v>32235</v>
      </c>
      <c r="E754" s="169" t="s">
        <v>1533</v>
      </c>
      <c r="F754" s="168">
        <f t="shared" si="11"/>
      </c>
      <c r="G754" s="169" t="s">
        <v>1534</v>
      </c>
      <c r="H754" s="169" t="s">
        <v>2881</v>
      </c>
      <c r="I754" s="169" t="s">
        <v>2926</v>
      </c>
      <c r="J754" s="171"/>
    </row>
    <row r="755" spans="1:10" ht="19.5" customHeight="1">
      <c r="A755" s="167" t="s">
        <v>2931</v>
      </c>
      <c r="B755" s="168" t="str">
        <f>RIGHT("a12035899",LEN("a12035899")-1)</f>
        <v>12035899</v>
      </c>
      <c r="C755" s="169" t="s">
        <v>2932</v>
      </c>
      <c r="D755" s="170">
        <v>29153</v>
      </c>
      <c r="E755" s="169" t="s">
        <v>1533</v>
      </c>
      <c r="F755" s="168">
        <f t="shared" si="11"/>
      </c>
      <c r="G755" s="169" t="s">
        <v>1534</v>
      </c>
      <c r="H755" s="169" t="s">
        <v>2881</v>
      </c>
      <c r="I755" s="169" t="s">
        <v>2926</v>
      </c>
      <c r="J755" s="171"/>
    </row>
    <row r="756" spans="1:10" ht="19.5" customHeight="1">
      <c r="A756" s="167" t="s">
        <v>2933</v>
      </c>
      <c r="B756" s="168" t="str">
        <f>RIGHT("a12035900",LEN("a12035900")-1)</f>
        <v>12035900</v>
      </c>
      <c r="C756" s="169" t="s">
        <v>2934</v>
      </c>
      <c r="D756" s="170">
        <v>25616</v>
      </c>
      <c r="E756" s="169" t="s">
        <v>1533</v>
      </c>
      <c r="F756" s="168">
        <f t="shared" si="11"/>
      </c>
      <c r="G756" s="169" t="s">
        <v>1534</v>
      </c>
      <c r="H756" s="169" t="s">
        <v>2881</v>
      </c>
      <c r="I756" s="169" t="s">
        <v>2926</v>
      </c>
      <c r="J756" s="171"/>
    </row>
    <row r="757" spans="1:10" ht="19.5" customHeight="1">
      <c r="A757" s="167" t="s">
        <v>2935</v>
      </c>
      <c r="B757" s="168" t="str">
        <f>RIGHT("a12035901",LEN("a12035901")-1)</f>
        <v>12035901</v>
      </c>
      <c r="C757" s="169" t="s">
        <v>2936</v>
      </c>
      <c r="D757" s="170">
        <v>32051</v>
      </c>
      <c r="E757" s="169" t="s">
        <v>1533</v>
      </c>
      <c r="F757" s="168">
        <f t="shared" si="11"/>
      </c>
      <c r="G757" s="169" t="s">
        <v>1534</v>
      </c>
      <c r="H757" s="169" t="s">
        <v>2881</v>
      </c>
      <c r="I757" s="169" t="s">
        <v>2926</v>
      </c>
      <c r="J757" s="171"/>
    </row>
    <row r="758" spans="1:10" ht="19.5" customHeight="1">
      <c r="A758" s="167" t="s">
        <v>2937</v>
      </c>
      <c r="B758" s="168" t="str">
        <f>RIGHT("a12035902",LEN("a12035902")-1)</f>
        <v>12035902</v>
      </c>
      <c r="C758" s="169" t="s">
        <v>2938</v>
      </c>
      <c r="D758" s="170">
        <v>31822</v>
      </c>
      <c r="E758" s="169" t="s">
        <v>1533</v>
      </c>
      <c r="F758" s="168">
        <f t="shared" si="11"/>
      </c>
      <c r="G758" s="169" t="s">
        <v>1534</v>
      </c>
      <c r="H758" s="169" t="s">
        <v>2881</v>
      </c>
      <c r="I758" s="169" t="s">
        <v>2926</v>
      </c>
      <c r="J758" s="171"/>
    </row>
    <row r="759" spans="1:10" ht="19.5" customHeight="1">
      <c r="A759" s="167" t="s">
        <v>2939</v>
      </c>
      <c r="B759" s="168" t="str">
        <f>RIGHT("a12035903",LEN("a12035903")-1)</f>
        <v>12035903</v>
      </c>
      <c r="C759" s="169" t="s">
        <v>2940</v>
      </c>
      <c r="D759" s="170">
        <v>27435</v>
      </c>
      <c r="E759" s="169" t="s">
        <v>1533</v>
      </c>
      <c r="F759" s="168">
        <f t="shared" si="11"/>
      </c>
      <c r="G759" s="169" t="s">
        <v>1534</v>
      </c>
      <c r="H759" s="169" t="s">
        <v>2881</v>
      </c>
      <c r="I759" s="169" t="s">
        <v>2926</v>
      </c>
      <c r="J759" s="171"/>
    </row>
    <row r="760" spans="1:10" ht="19.5" customHeight="1">
      <c r="A760" s="167" t="s">
        <v>2941</v>
      </c>
      <c r="B760" s="168" t="str">
        <f>RIGHT("a12035904",LEN("a12035904")-1)</f>
        <v>12035904</v>
      </c>
      <c r="C760" s="169" t="s">
        <v>2164</v>
      </c>
      <c r="D760" s="170">
        <v>29100</v>
      </c>
      <c r="E760" s="169" t="s">
        <v>1533</v>
      </c>
      <c r="F760" s="168">
        <f t="shared" si="11"/>
      </c>
      <c r="G760" s="169" t="s">
        <v>1534</v>
      </c>
      <c r="H760" s="169" t="s">
        <v>2881</v>
      </c>
      <c r="I760" s="169" t="s">
        <v>2926</v>
      </c>
      <c r="J760" s="171"/>
    </row>
    <row r="761" spans="1:10" ht="19.5" customHeight="1">
      <c r="A761" s="167" t="s">
        <v>2942</v>
      </c>
      <c r="B761" s="168" t="str">
        <f>RIGHT("a12035905",LEN("a12035905")-1)</f>
        <v>12035905</v>
      </c>
      <c r="C761" s="169" t="s">
        <v>2943</v>
      </c>
      <c r="D761" s="170">
        <v>31258</v>
      </c>
      <c r="E761" s="169" t="s">
        <v>1533</v>
      </c>
      <c r="F761" s="168">
        <f t="shared" si="11"/>
      </c>
      <c r="G761" s="169" t="s">
        <v>1534</v>
      </c>
      <c r="H761" s="169" t="s">
        <v>2881</v>
      </c>
      <c r="I761" s="169" t="s">
        <v>2926</v>
      </c>
      <c r="J761" s="171"/>
    </row>
    <row r="762" spans="1:10" ht="19.5" customHeight="1">
      <c r="A762" s="167" t="s">
        <v>2944</v>
      </c>
      <c r="B762" s="168" t="str">
        <f>RIGHT("a12035906",LEN("a12035906")-1)</f>
        <v>12035906</v>
      </c>
      <c r="C762" s="169" t="s">
        <v>2945</v>
      </c>
      <c r="D762" s="170">
        <v>31927</v>
      </c>
      <c r="E762" s="169" t="s">
        <v>1533</v>
      </c>
      <c r="F762" s="168">
        <f t="shared" si="11"/>
      </c>
      <c r="G762" s="169" t="s">
        <v>1534</v>
      </c>
      <c r="H762" s="169" t="s">
        <v>2881</v>
      </c>
      <c r="I762" s="169" t="s">
        <v>2926</v>
      </c>
      <c r="J762" s="171"/>
    </row>
    <row r="763" spans="1:10" ht="19.5" customHeight="1">
      <c r="A763" s="167" t="s">
        <v>2946</v>
      </c>
      <c r="B763" s="168" t="str">
        <f>RIGHT("a12035907",LEN("a12035907")-1)</f>
        <v>12035907</v>
      </c>
      <c r="C763" s="169" t="s">
        <v>2947</v>
      </c>
      <c r="D763" s="170">
        <v>31212</v>
      </c>
      <c r="E763" s="169" t="s">
        <v>95</v>
      </c>
      <c r="F763" s="168">
        <f t="shared" si="11"/>
      </c>
      <c r="G763" s="169" t="s">
        <v>1534</v>
      </c>
      <c r="H763" s="169" t="s">
        <v>2881</v>
      </c>
      <c r="I763" s="169" t="s">
        <v>2926</v>
      </c>
      <c r="J763" s="171"/>
    </row>
    <row r="764" spans="1:10" ht="19.5" customHeight="1">
      <c r="A764" s="167" t="s">
        <v>2948</v>
      </c>
      <c r="B764" s="168" t="str">
        <f>RIGHT("a12035908",LEN("a12035908")-1)</f>
        <v>12035908</v>
      </c>
      <c r="C764" s="169" t="s">
        <v>2949</v>
      </c>
      <c r="D764" s="170">
        <v>31777</v>
      </c>
      <c r="E764" s="169" t="s">
        <v>95</v>
      </c>
      <c r="F764" s="168">
        <f t="shared" si="11"/>
      </c>
      <c r="G764" s="169" t="s">
        <v>1534</v>
      </c>
      <c r="H764" s="169" t="s">
        <v>2881</v>
      </c>
      <c r="I764" s="169" t="s">
        <v>2926</v>
      </c>
      <c r="J764" s="171"/>
    </row>
    <row r="765" spans="1:10" ht="19.5" customHeight="1">
      <c r="A765" s="167" t="s">
        <v>2950</v>
      </c>
      <c r="B765" s="168" t="str">
        <f>RIGHT("a12035622",LEN("a12035622")-1)</f>
        <v>12035622</v>
      </c>
      <c r="C765" s="169" t="s">
        <v>2951</v>
      </c>
      <c r="D765" s="170">
        <v>30908</v>
      </c>
      <c r="E765" s="169" t="s">
        <v>95</v>
      </c>
      <c r="F765" s="168">
        <f t="shared" si="11"/>
      </c>
      <c r="G765" s="169" t="s">
        <v>1534</v>
      </c>
      <c r="H765" s="169" t="s">
        <v>2309</v>
      </c>
      <c r="I765" s="169" t="s">
        <v>2952</v>
      </c>
      <c r="J765" s="171"/>
    </row>
    <row r="766" spans="1:10" ht="19.5" customHeight="1">
      <c r="A766" s="167" t="s">
        <v>2953</v>
      </c>
      <c r="B766" s="168" t="str">
        <f>RIGHT("a12035203",LEN("a12035203")-1)</f>
        <v>12035203</v>
      </c>
      <c r="C766" s="169" t="s">
        <v>1467</v>
      </c>
      <c r="D766" s="170">
        <v>29376</v>
      </c>
      <c r="E766" s="169" t="s">
        <v>1533</v>
      </c>
      <c r="F766" s="168">
        <f t="shared" si="11"/>
      </c>
      <c r="G766" s="169" t="s">
        <v>1534</v>
      </c>
      <c r="H766" s="169" t="s">
        <v>2309</v>
      </c>
      <c r="I766" s="169" t="s">
        <v>2952</v>
      </c>
      <c r="J766" s="171"/>
    </row>
    <row r="767" spans="1:10" ht="19.5" customHeight="1">
      <c r="A767" s="167" t="s">
        <v>2954</v>
      </c>
      <c r="B767" s="168" t="str">
        <f>RIGHT("a12035204",LEN("a12035204")-1)</f>
        <v>12035204</v>
      </c>
      <c r="C767" s="169" t="s">
        <v>2955</v>
      </c>
      <c r="D767" s="170">
        <v>31332</v>
      </c>
      <c r="E767" s="169" t="s">
        <v>1533</v>
      </c>
      <c r="F767" s="168">
        <f t="shared" si="11"/>
      </c>
      <c r="G767" s="169" t="s">
        <v>1534</v>
      </c>
      <c r="H767" s="169" t="s">
        <v>2309</v>
      </c>
      <c r="I767" s="169" t="s">
        <v>2952</v>
      </c>
      <c r="J767" s="171"/>
    </row>
    <row r="768" spans="1:10" ht="19.5" customHeight="1">
      <c r="A768" s="167" t="s">
        <v>2956</v>
      </c>
      <c r="B768" s="168" t="str">
        <f>RIGHT("a12035205",LEN("a12035205")-1)</f>
        <v>12035205</v>
      </c>
      <c r="C768" s="169" t="s">
        <v>2957</v>
      </c>
      <c r="D768" s="170">
        <v>32406</v>
      </c>
      <c r="E768" s="169" t="s">
        <v>1533</v>
      </c>
      <c r="F768" s="168">
        <f t="shared" si="11"/>
      </c>
      <c r="G768" s="169" t="s">
        <v>1534</v>
      </c>
      <c r="H768" s="169" t="s">
        <v>2309</v>
      </c>
      <c r="I768" s="169" t="s">
        <v>2952</v>
      </c>
      <c r="J768" s="171"/>
    </row>
    <row r="769" spans="1:10" ht="19.5" customHeight="1">
      <c r="A769" s="167" t="s">
        <v>2958</v>
      </c>
      <c r="B769" s="168" t="str">
        <f>RIGHT("a12035206",LEN("a12035206")-1)</f>
        <v>12035206</v>
      </c>
      <c r="C769" s="169" t="s">
        <v>2959</v>
      </c>
      <c r="D769" s="170">
        <v>31726</v>
      </c>
      <c r="E769" s="169" t="s">
        <v>1533</v>
      </c>
      <c r="F769" s="168">
        <f t="shared" si="11"/>
      </c>
      <c r="G769" s="169" t="s">
        <v>1534</v>
      </c>
      <c r="H769" s="169" t="s">
        <v>2309</v>
      </c>
      <c r="I769" s="169" t="s">
        <v>2952</v>
      </c>
      <c r="J769" s="171"/>
    </row>
    <row r="770" spans="1:10" ht="19.5" customHeight="1">
      <c r="A770" s="167" t="s">
        <v>2960</v>
      </c>
      <c r="B770" s="168" t="str">
        <f>RIGHT("a12035207",LEN("a12035207")-1)</f>
        <v>12035207</v>
      </c>
      <c r="C770" s="169" t="s">
        <v>2961</v>
      </c>
      <c r="D770" s="170">
        <v>31292</v>
      </c>
      <c r="E770" s="169" t="s">
        <v>1533</v>
      </c>
      <c r="F770" s="168">
        <f aca="true" t="shared" si="12" ref="F770:F833">RIGHT("a",LEN("a")-1)</f>
      </c>
      <c r="G770" s="169" t="s">
        <v>1534</v>
      </c>
      <c r="H770" s="169" t="s">
        <v>2309</v>
      </c>
      <c r="I770" s="169" t="s">
        <v>2952</v>
      </c>
      <c r="J770" s="171"/>
    </row>
    <row r="771" spans="1:10" ht="19.5" customHeight="1">
      <c r="A771" s="167" t="s">
        <v>2962</v>
      </c>
      <c r="B771" s="168" t="str">
        <f>RIGHT("a12035208",LEN("a12035208")-1)</f>
        <v>12035208</v>
      </c>
      <c r="C771" s="169" t="s">
        <v>1919</v>
      </c>
      <c r="D771" s="170">
        <v>28450</v>
      </c>
      <c r="E771" s="169" t="s">
        <v>1533</v>
      </c>
      <c r="F771" s="168">
        <f t="shared" si="12"/>
      </c>
      <c r="G771" s="169" t="s">
        <v>1534</v>
      </c>
      <c r="H771" s="169" t="s">
        <v>2309</v>
      </c>
      <c r="I771" s="169" t="s">
        <v>2952</v>
      </c>
      <c r="J771" s="171"/>
    </row>
    <row r="772" spans="1:10" ht="19.5" customHeight="1">
      <c r="A772" s="167" t="s">
        <v>2963</v>
      </c>
      <c r="B772" s="168" t="str">
        <f>RIGHT("a12035209",LEN("a12035209")-1)</f>
        <v>12035209</v>
      </c>
      <c r="C772" s="169" t="s">
        <v>2964</v>
      </c>
      <c r="D772" s="170">
        <v>32512</v>
      </c>
      <c r="E772" s="169" t="s">
        <v>1533</v>
      </c>
      <c r="F772" s="168">
        <f t="shared" si="12"/>
      </c>
      <c r="G772" s="169" t="s">
        <v>1534</v>
      </c>
      <c r="H772" s="169" t="s">
        <v>2309</v>
      </c>
      <c r="I772" s="169" t="s">
        <v>2952</v>
      </c>
      <c r="J772" s="171"/>
    </row>
    <row r="773" spans="1:10" ht="19.5" customHeight="1">
      <c r="A773" s="167" t="s">
        <v>2965</v>
      </c>
      <c r="B773" s="168" t="str">
        <f>RIGHT("a12035210",LEN("a12035210")-1)</f>
        <v>12035210</v>
      </c>
      <c r="C773" s="169" t="s">
        <v>2966</v>
      </c>
      <c r="D773" s="170">
        <v>31856</v>
      </c>
      <c r="E773" s="169" t="s">
        <v>1533</v>
      </c>
      <c r="F773" s="168">
        <f t="shared" si="12"/>
      </c>
      <c r="G773" s="169" t="s">
        <v>1534</v>
      </c>
      <c r="H773" s="169" t="s">
        <v>2309</v>
      </c>
      <c r="I773" s="169" t="s">
        <v>2952</v>
      </c>
      <c r="J773" s="171"/>
    </row>
    <row r="774" spans="1:10" ht="19.5" customHeight="1">
      <c r="A774" s="167" t="s">
        <v>2967</v>
      </c>
      <c r="B774" s="168" t="str">
        <f>RIGHT("a12035621",LEN("a12035621")-1)</f>
        <v>12035621</v>
      </c>
      <c r="C774" s="169" t="s">
        <v>1497</v>
      </c>
      <c r="D774" s="170">
        <v>31208</v>
      </c>
      <c r="E774" s="169" t="s">
        <v>1533</v>
      </c>
      <c r="F774" s="168">
        <f t="shared" si="12"/>
      </c>
      <c r="G774" s="169" t="s">
        <v>1534</v>
      </c>
      <c r="H774" s="169" t="s">
        <v>2309</v>
      </c>
      <c r="I774" s="169" t="s">
        <v>2952</v>
      </c>
      <c r="J774" s="171"/>
    </row>
    <row r="775" spans="1:10" ht="19.5" customHeight="1">
      <c r="A775" s="167" t="s">
        <v>2968</v>
      </c>
      <c r="B775" s="168" t="str">
        <f>RIGHT("a12035620",LEN("a12035620")-1)</f>
        <v>12035620</v>
      </c>
      <c r="C775" s="169" t="s">
        <v>2969</v>
      </c>
      <c r="D775" s="170">
        <v>26704</v>
      </c>
      <c r="E775" s="169" t="s">
        <v>95</v>
      </c>
      <c r="F775" s="168">
        <f t="shared" si="12"/>
      </c>
      <c r="G775" s="169" t="s">
        <v>1534</v>
      </c>
      <c r="H775" s="169" t="s">
        <v>2309</v>
      </c>
      <c r="I775" s="169" t="s">
        <v>2952</v>
      </c>
      <c r="J775" s="171"/>
    </row>
    <row r="776" spans="1:10" ht="19.5" customHeight="1">
      <c r="A776" s="167" t="s">
        <v>2970</v>
      </c>
      <c r="B776" s="168" t="str">
        <f>RIGHT("a12035623",LEN("a12035623")-1)</f>
        <v>12035623</v>
      </c>
      <c r="C776" s="169" t="s">
        <v>1498</v>
      </c>
      <c r="D776" s="170">
        <v>33126</v>
      </c>
      <c r="E776" s="169" t="s">
        <v>1533</v>
      </c>
      <c r="F776" s="168">
        <f t="shared" si="12"/>
      </c>
      <c r="G776" s="169" t="s">
        <v>1534</v>
      </c>
      <c r="H776" s="169" t="s">
        <v>2309</v>
      </c>
      <c r="I776" s="169" t="s">
        <v>2971</v>
      </c>
      <c r="J776" s="171"/>
    </row>
    <row r="777" spans="1:10" ht="19.5" customHeight="1">
      <c r="A777" s="167" t="s">
        <v>2972</v>
      </c>
      <c r="B777" s="168" t="str">
        <f>RIGHT("a12035629",LEN("a12035629")-1)</f>
        <v>12035629</v>
      </c>
      <c r="C777" s="169" t="s">
        <v>1447</v>
      </c>
      <c r="D777" s="170">
        <v>32428</v>
      </c>
      <c r="E777" s="169" t="s">
        <v>1533</v>
      </c>
      <c r="F777" s="168">
        <f t="shared" si="12"/>
      </c>
      <c r="G777" s="169" t="s">
        <v>1534</v>
      </c>
      <c r="H777" s="169" t="s">
        <v>2309</v>
      </c>
      <c r="I777" s="169" t="s">
        <v>2971</v>
      </c>
      <c r="J777" s="171"/>
    </row>
    <row r="778" spans="1:10" ht="19.5" customHeight="1">
      <c r="A778" s="167" t="s">
        <v>2973</v>
      </c>
      <c r="B778" s="168" t="str">
        <f>RIGHT("a12035625",LEN("a12035625")-1)</f>
        <v>12035625</v>
      </c>
      <c r="C778" s="169" t="s">
        <v>1499</v>
      </c>
      <c r="D778" s="170">
        <v>31603</v>
      </c>
      <c r="E778" s="169" t="s">
        <v>1533</v>
      </c>
      <c r="F778" s="168">
        <f t="shared" si="12"/>
      </c>
      <c r="G778" s="169" t="s">
        <v>1534</v>
      </c>
      <c r="H778" s="169" t="s">
        <v>2309</v>
      </c>
      <c r="I778" s="169" t="s">
        <v>2971</v>
      </c>
      <c r="J778" s="171"/>
    </row>
    <row r="779" spans="1:10" ht="19.5" customHeight="1">
      <c r="A779" s="167" t="s">
        <v>2974</v>
      </c>
      <c r="B779" s="168" t="str">
        <f>RIGHT("a12035624",LEN("a12035624")-1)</f>
        <v>12035624</v>
      </c>
      <c r="C779" s="169" t="s">
        <v>157</v>
      </c>
      <c r="D779" s="170">
        <v>32356</v>
      </c>
      <c r="E779" s="169" t="s">
        <v>1533</v>
      </c>
      <c r="F779" s="168">
        <f t="shared" si="12"/>
      </c>
      <c r="G779" s="169" t="s">
        <v>1534</v>
      </c>
      <c r="H779" s="169" t="s">
        <v>2309</v>
      </c>
      <c r="I779" s="169" t="s">
        <v>2971</v>
      </c>
      <c r="J779" s="171"/>
    </row>
    <row r="780" spans="1:10" ht="19.5" customHeight="1">
      <c r="A780" s="167" t="s">
        <v>2975</v>
      </c>
      <c r="B780" s="168" t="str">
        <f>RIGHT("a12035627",LEN("a12035627")-1)</f>
        <v>12035627</v>
      </c>
      <c r="C780" s="169" t="s">
        <v>2506</v>
      </c>
      <c r="D780" s="170">
        <v>31817</v>
      </c>
      <c r="E780" s="169" t="s">
        <v>1533</v>
      </c>
      <c r="F780" s="168">
        <f t="shared" si="12"/>
      </c>
      <c r="G780" s="169" t="s">
        <v>1534</v>
      </c>
      <c r="H780" s="169" t="s">
        <v>2309</v>
      </c>
      <c r="I780" s="169" t="s">
        <v>2971</v>
      </c>
      <c r="J780" s="171"/>
    </row>
    <row r="781" spans="1:10" ht="19.5" customHeight="1">
      <c r="A781" s="167" t="s">
        <v>2976</v>
      </c>
      <c r="B781" s="168" t="str">
        <f>RIGHT("a12035626",LEN("a12035626")-1)</f>
        <v>12035626</v>
      </c>
      <c r="C781" s="169" t="s">
        <v>1500</v>
      </c>
      <c r="D781" s="170">
        <v>33157</v>
      </c>
      <c r="E781" s="169" t="s">
        <v>1533</v>
      </c>
      <c r="F781" s="168">
        <f t="shared" si="12"/>
      </c>
      <c r="G781" s="169" t="s">
        <v>1534</v>
      </c>
      <c r="H781" s="169" t="s">
        <v>2309</v>
      </c>
      <c r="I781" s="169" t="s">
        <v>2971</v>
      </c>
      <c r="J781" s="171"/>
    </row>
    <row r="782" spans="1:10" ht="19.5" customHeight="1">
      <c r="A782" s="167" t="s">
        <v>2977</v>
      </c>
      <c r="B782" s="168" t="str">
        <f>RIGHT("a12035628",LEN("a12035628")-1)</f>
        <v>12035628</v>
      </c>
      <c r="C782" s="169" t="s">
        <v>1501</v>
      </c>
      <c r="D782" s="170">
        <v>33197</v>
      </c>
      <c r="E782" s="169" t="s">
        <v>1533</v>
      </c>
      <c r="F782" s="168">
        <f t="shared" si="12"/>
      </c>
      <c r="G782" s="169" t="s">
        <v>1534</v>
      </c>
      <c r="H782" s="169" t="s">
        <v>2309</v>
      </c>
      <c r="I782" s="169" t="s">
        <v>2971</v>
      </c>
      <c r="J782" s="171"/>
    </row>
    <row r="783" spans="1:10" ht="19.5" customHeight="1">
      <c r="A783" s="167" t="s">
        <v>2978</v>
      </c>
      <c r="B783" s="168" t="str">
        <f>RIGHT("a12035211",LEN("a12035211")-1)</f>
        <v>12035211</v>
      </c>
      <c r="C783" s="169" t="s">
        <v>2979</v>
      </c>
      <c r="D783" s="170">
        <v>29108</v>
      </c>
      <c r="E783" s="169" t="s">
        <v>1533</v>
      </c>
      <c r="F783" s="168">
        <f t="shared" si="12"/>
      </c>
      <c r="G783" s="169" t="s">
        <v>1534</v>
      </c>
      <c r="H783" s="169" t="s">
        <v>2309</v>
      </c>
      <c r="I783" s="169" t="s">
        <v>2971</v>
      </c>
      <c r="J783" s="171"/>
    </row>
    <row r="784" spans="1:10" ht="19.5" customHeight="1">
      <c r="A784" s="167" t="s">
        <v>2980</v>
      </c>
      <c r="B784" s="168" t="str">
        <f>RIGHT("a12035664",LEN("a12035664")-1)</f>
        <v>12035664</v>
      </c>
      <c r="C784" s="169" t="s">
        <v>2981</v>
      </c>
      <c r="D784" s="170">
        <v>32835</v>
      </c>
      <c r="E784" s="169" t="s">
        <v>1533</v>
      </c>
      <c r="F784" s="168">
        <f t="shared" si="12"/>
      </c>
      <c r="G784" s="169" t="s">
        <v>1534</v>
      </c>
      <c r="H784" s="169" t="s">
        <v>2309</v>
      </c>
      <c r="I784" s="169" t="s">
        <v>2982</v>
      </c>
      <c r="J784" s="171"/>
    </row>
    <row r="785" spans="1:10" ht="19.5" customHeight="1">
      <c r="A785" s="167" t="s">
        <v>2983</v>
      </c>
      <c r="B785" s="168" t="str">
        <f>RIGHT("a12035649",LEN("a12035649")-1)</f>
        <v>12035649</v>
      </c>
      <c r="C785" s="169" t="s">
        <v>1502</v>
      </c>
      <c r="D785" s="170">
        <v>32314</v>
      </c>
      <c r="E785" s="169" t="s">
        <v>1533</v>
      </c>
      <c r="F785" s="168">
        <f t="shared" si="12"/>
      </c>
      <c r="G785" s="169" t="s">
        <v>1534</v>
      </c>
      <c r="H785" s="169" t="s">
        <v>2309</v>
      </c>
      <c r="I785" s="169" t="s">
        <v>2982</v>
      </c>
      <c r="J785" s="171"/>
    </row>
    <row r="786" spans="1:10" ht="19.5" customHeight="1">
      <c r="A786" s="167" t="s">
        <v>2984</v>
      </c>
      <c r="B786" s="168" t="str">
        <f>RIGHT("a12035650",LEN("a12035650")-1)</f>
        <v>12035650</v>
      </c>
      <c r="C786" s="169" t="s">
        <v>1503</v>
      </c>
      <c r="D786" s="170">
        <v>33227</v>
      </c>
      <c r="E786" s="169" t="s">
        <v>1533</v>
      </c>
      <c r="F786" s="168">
        <f t="shared" si="12"/>
      </c>
      <c r="G786" s="169" t="s">
        <v>1534</v>
      </c>
      <c r="H786" s="169" t="s">
        <v>2309</v>
      </c>
      <c r="I786" s="169" t="s">
        <v>2982</v>
      </c>
      <c r="J786" s="171"/>
    </row>
    <row r="787" spans="1:10" ht="19.5" customHeight="1">
      <c r="A787" s="167" t="s">
        <v>2985</v>
      </c>
      <c r="B787" s="168" t="str">
        <f>RIGHT("a12035651",LEN("a12035651")-1)</f>
        <v>12035651</v>
      </c>
      <c r="C787" s="169" t="s">
        <v>2986</v>
      </c>
      <c r="D787" s="170">
        <v>32641</v>
      </c>
      <c r="E787" s="169" t="s">
        <v>1533</v>
      </c>
      <c r="F787" s="168">
        <f t="shared" si="12"/>
      </c>
      <c r="G787" s="169" t="s">
        <v>1534</v>
      </c>
      <c r="H787" s="169" t="s">
        <v>2309</v>
      </c>
      <c r="I787" s="169" t="s">
        <v>2982</v>
      </c>
      <c r="J787" s="171"/>
    </row>
    <row r="788" spans="1:10" ht="19.5" customHeight="1">
      <c r="A788" s="167" t="s">
        <v>2987</v>
      </c>
      <c r="B788" s="168" t="str">
        <f>RIGHT("a12035212",LEN("a12035212")-1)</f>
        <v>12035212</v>
      </c>
      <c r="C788" s="169" t="s">
        <v>2988</v>
      </c>
      <c r="D788" s="170">
        <v>30798</v>
      </c>
      <c r="E788" s="169" t="s">
        <v>1533</v>
      </c>
      <c r="F788" s="168">
        <f t="shared" si="12"/>
      </c>
      <c r="G788" s="169" t="s">
        <v>1534</v>
      </c>
      <c r="H788" s="169" t="s">
        <v>2309</v>
      </c>
      <c r="I788" s="169" t="s">
        <v>2982</v>
      </c>
      <c r="J788" s="171"/>
    </row>
    <row r="789" spans="1:10" ht="19.5" customHeight="1">
      <c r="A789" s="167" t="s">
        <v>2989</v>
      </c>
      <c r="B789" s="168" t="str">
        <f>RIGHT("a12035641",LEN("a12035641")-1)</f>
        <v>12035641</v>
      </c>
      <c r="C789" s="169" t="s">
        <v>1504</v>
      </c>
      <c r="D789" s="170">
        <v>32910</v>
      </c>
      <c r="E789" s="169" t="s">
        <v>1533</v>
      </c>
      <c r="F789" s="168">
        <f t="shared" si="12"/>
      </c>
      <c r="G789" s="169" t="s">
        <v>1534</v>
      </c>
      <c r="H789" s="169" t="s">
        <v>2309</v>
      </c>
      <c r="I789" s="169" t="s">
        <v>2982</v>
      </c>
      <c r="J789" s="171"/>
    </row>
    <row r="790" spans="1:10" ht="19.5" customHeight="1">
      <c r="A790" s="167" t="s">
        <v>2990</v>
      </c>
      <c r="B790" s="168" t="str">
        <f>RIGHT("a12035660",LEN("a12035660")-1)</f>
        <v>12035660</v>
      </c>
      <c r="C790" s="169" t="s">
        <v>2991</v>
      </c>
      <c r="D790" s="170">
        <v>32890</v>
      </c>
      <c r="E790" s="169" t="s">
        <v>1533</v>
      </c>
      <c r="F790" s="168">
        <f t="shared" si="12"/>
      </c>
      <c r="G790" s="169" t="s">
        <v>1534</v>
      </c>
      <c r="H790" s="169" t="s">
        <v>2309</v>
      </c>
      <c r="I790" s="169" t="s">
        <v>2982</v>
      </c>
      <c r="J790" s="171"/>
    </row>
    <row r="791" spans="1:10" ht="19.5" customHeight="1">
      <c r="A791" s="167" t="s">
        <v>2992</v>
      </c>
      <c r="B791" s="168" t="str">
        <f>RIGHT("a12035213",LEN("a12035213")-1)</f>
        <v>12035213</v>
      </c>
      <c r="C791" s="169" t="s">
        <v>1843</v>
      </c>
      <c r="D791" s="170">
        <v>27438</v>
      </c>
      <c r="E791" s="169" t="s">
        <v>1533</v>
      </c>
      <c r="F791" s="168">
        <f t="shared" si="12"/>
      </c>
      <c r="G791" s="169" t="s">
        <v>1534</v>
      </c>
      <c r="H791" s="169" t="s">
        <v>2309</v>
      </c>
      <c r="I791" s="169" t="s">
        <v>2982</v>
      </c>
      <c r="J791" s="171"/>
    </row>
    <row r="792" spans="1:10" ht="19.5" customHeight="1">
      <c r="A792" s="167" t="s">
        <v>2993</v>
      </c>
      <c r="B792" s="168" t="str">
        <f>RIGHT("a12035632",LEN("a12035632")-1)</f>
        <v>12035632</v>
      </c>
      <c r="C792" s="169" t="s">
        <v>1505</v>
      </c>
      <c r="D792" s="170">
        <v>31175</v>
      </c>
      <c r="E792" s="169" t="s">
        <v>1533</v>
      </c>
      <c r="F792" s="168">
        <f t="shared" si="12"/>
      </c>
      <c r="G792" s="169" t="s">
        <v>1534</v>
      </c>
      <c r="H792" s="169" t="s">
        <v>2309</v>
      </c>
      <c r="I792" s="169" t="s">
        <v>2982</v>
      </c>
      <c r="J792" s="171"/>
    </row>
    <row r="793" spans="1:10" ht="19.5" customHeight="1">
      <c r="A793" s="167" t="s">
        <v>2994</v>
      </c>
      <c r="B793" s="168" t="str">
        <f>RIGHT("a12035214",LEN("a12035214")-1)</f>
        <v>12035214</v>
      </c>
      <c r="C793" s="169" t="s">
        <v>2995</v>
      </c>
      <c r="D793" s="170">
        <v>29792</v>
      </c>
      <c r="E793" s="169" t="s">
        <v>1533</v>
      </c>
      <c r="F793" s="168">
        <f t="shared" si="12"/>
      </c>
      <c r="G793" s="169" t="s">
        <v>1534</v>
      </c>
      <c r="H793" s="169" t="s">
        <v>2309</v>
      </c>
      <c r="I793" s="169" t="s">
        <v>2982</v>
      </c>
      <c r="J793" s="171"/>
    </row>
    <row r="794" spans="1:10" ht="19.5" customHeight="1">
      <c r="A794" s="167" t="s">
        <v>2996</v>
      </c>
      <c r="B794" s="168" t="str">
        <f>RIGHT("a12035661",LEN("a12035661")-1)</f>
        <v>12035661</v>
      </c>
      <c r="C794" s="169" t="s">
        <v>2997</v>
      </c>
      <c r="D794" s="170">
        <v>33064</v>
      </c>
      <c r="E794" s="169" t="s">
        <v>1533</v>
      </c>
      <c r="F794" s="168">
        <f t="shared" si="12"/>
      </c>
      <c r="G794" s="169" t="s">
        <v>1534</v>
      </c>
      <c r="H794" s="169" t="s">
        <v>2309</v>
      </c>
      <c r="I794" s="169" t="s">
        <v>2982</v>
      </c>
      <c r="J794" s="171"/>
    </row>
    <row r="795" spans="1:10" ht="19.5" customHeight="1">
      <c r="A795" s="167" t="s">
        <v>2998</v>
      </c>
      <c r="B795" s="168" t="str">
        <f>RIGHT("a12035662",LEN("a12035662")-1)</f>
        <v>12035662</v>
      </c>
      <c r="C795" s="169" t="s">
        <v>2999</v>
      </c>
      <c r="D795" s="170">
        <v>11292</v>
      </c>
      <c r="E795" s="169" t="s">
        <v>1533</v>
      </c>
      <c r="F795" s="168">
        <f t="shared" si="12"/>
      </c>
      <c r="G795" s="169" t="s">
        <v>1534</v>
      </c>
      <c r="H795" s="169" t="s">
        <v>2309</v>
      </c>
      <c r="I795" s="169" t="s">
        <v>2982</v>
      </c>
      <c r="J795" s="171"/>
    </row>
    <row r="796" spans="1:10" ht="19.5" customHeight="1">
      <c r="A796" s="167" t="s">
        <v>3000</v>
      </c>
      <c r="B796" s="168" t="str">
        <f>RIGHT("a12035633",LEN("a12035633")-1)</f>
        <v>12035633</v>
      </c>
      <c r="C796" s="169" t="s">
        <v>1506</v>
      </c>
      <c r="D796" s="170">
        <v>33048</v>
      </c>
      <c r="E796" s="169" t="s">
        <v>1533</v>
      </c>
      <c r="F796" s="168">
        <f t="shared" si="12"/>
      </c>
      <c r="G796" s="169" t="s">
        <v>1534</v>
      </c>
      <c r="H796" s="169" t="s">
        <v>2309</v>
      </c>
      <c r="I796" s="169" t="s">
        <v>2982</v>
      </c>
      <c r="J796" s="171"/>
    </row>
    <row r="797" spans="1:10" ht="19.5" customHeight="1">
      <c r="A797" s="167" t="s">
        <v>3001</v>
      </c>
      <c r="B797" s="168" t="str">
        <f>RIGHT("a12035658",LEN("a12035658")-1)</f>
        <v>12035658</v>
      </c>
      <c r="C797" s="169" t="s">
        <v>3002</v>
      </c>
      <c r="D797" s="171"/>
      <c r="E797" s="169" t="s">
        <v>1533</v>
      </c>
      <c r="F797" s="168">
        <f t="shared" si="12"/>
      </c>
      <c r="G797" s="169" t="s">
        <v>1534</v>
      </c>
      <c r="H797" s="169" t="s">
        <v>2309</v>
      </c>
      <c r="I797" s="169" t="s">
        <v>2982</v>
      </c>
      <c r="J797" s="171"/>
    </row>
    <row r="798" spans="1:10" ht="19.5" customHeight="1">
      <c r="A798" s="167" t="s">
        <v>3003</v>
      </c>
      <c r="B798" s="168" t="str">
        <f>RIGHT("a12035653",LEN("a12035653")-1)</f>
        <v>12035653</v>
      </c>
      <c r="C798" s="169" t="s">
        <v>1860</v>
      </c>
      <c r="D798" s="170">
        <v>32590</v>
      </c>
      <c r="E798" s="169" t="s">
        <v>1533</v>
      </c>
      <c r="F798" s="168">
        <f t="shared" si="12"/>
      </c>
      <c r="G798" s="169" t="s">
        <v>1534</v>
      </c>
      <c r="H798" s="169" t="s">
        <v>2309</v>
      </c>
      <c r="I798" s="169" t="s">
        <v>2982</v>
      </c>
      <c r="J798" s="171"/>
    </row>
    <row r="799" spans="1:10" ht="19.5" customHeight="1">
      <c r="A799" s="167" t="s">
        <v>3004</v>
      </c>
      <c r="B799" s="168" t="str">
        <f>RIGHT("a12035652",LEN("a12035652")-1)</f>
        <v>12035652</v>
      </c>
      <c r="C799" s="169" t="s">
        <v>2506</v>
      </c>
      <c r="D799" s="170">
        <v>32946</v>
      </c>
      <c r="E799" s="169" t="s">
        <v>1533</v>
      </c>
      <c r="F799" s="168">
        <f t="shared" si="12"/>
      </c>
      <c r="G799" s="169" t="s">
        <v>1534</v>
      </c>
      <c r="H799" s="169" t="s">
        <v>2309</v>
      </c>
      <c r="I799" s="169" t="s">
        <v>2982</v>
      </c>
      <c r="J799" s="171"/>
    </row>
    <row r="800" spans="1:10" ht="19.5" customHeight="1">
      <c r="A800" s="167" t="s">
        <v>3005</v>
      </c>
      <c r="B800" s="168" t="str">
        <f>RIGHT("a12035215",LEN("a12035215")-1)</f>
        <v>12035215</v>
      </c>
      <c r="C800" s="169" t="s">
        <v>3006</v>
      </c>
      <c r="D800" s="170">
        <v>29190</v>
      </c>
      <c r="E800" s="169" t="s">
        <v>1533</v>
      </c>
      <c r="F800" s="168">
        <f t="shared" si="12"/>
      </c>
      <c r="G800" s="169" t="s">
        <v>1534</v>
      </c>
      <c r="H800" s="169" t="s">
        <v>2309</v>
      </c>
      <c r="I800" s="169" t="s">
        <v>2982</v>
      </c>
      <c r="J800" s="171"/>
    </row>
    <row r="801" spans="1:10" ht="19.5" customHeight="1">
      <c r="A801" s="167" t="s">
        <v>3007</v>
      </c>
      <c r="B801" s="168" t="str">
        <f>RIGHT("a12035634",LEN("a12035634")-1)</f>
        <v>12035634</v>
      </c>
      <c r="C801" s="169" t="s">
        <v>1507</v>
      </c>
      <c r="D801" s="170">
        <v>31509</v>
      </c>
      <c r="E801" s="169" t="s">
        <v>1533</v>
      </c>
      <c r="F801" s="168">
        <f t="shared" si="12"/>
      </c>
      <c r="G801" s="169" t="s">
        <v>1534</v>
      </c>
      <c r="H801" s="169" t="s">
        <v>2309</v>
      </c>
      <c r="I801" s="169" t="s">
        <v>2982</v>
      </c>
      <c r="J801" s="171"/>
    </row>
    <row r="802" spans="1:10" ht="19.5" customHeight="1">
      <c r="A802" s="167" t="s">
        <v>3008</v>
      </c>
      <c r="B802" s="168" t="str">
        <f>RIGHT("a12035665",LEN("a12035665")-1)</f>
        <v>12035665</v>
      </c>
      <c r="C802" s="169" t="s">
        <v>3009</v>
      </c>
      <c r="D802" s="170">
        <v>33126</v>
      </c>
      <c r="E802" s="169" t="s">
        <v>1533</v>
      </c>
      <c r="F802" s="168">
        <f t="shared" si="12"/>
      </c>
      <c r="G802" s="169" t="s">
        <v>1534</v>
      </c>
      <c r="H802" s="169" t="s">
        <v>2309</v>
      </c>
      <c r="I802" s="169" t="s">
        <v>2982</v>
      </c>
      <c r="J802" s="171"/>
    </row>
    <row r="803" spans="1:10" ht="19.5" customHeight="1">
      <c r="A803" s="167" t="s">
        <v>3010</v>
      </c>
      <c r="B803" s="168" t="str">
        <f>RIGHT("a12035656",LEN("a12035656")-1)</f>
        <v>12035656</v>
      </c>
      <c r="C803" s="169" t="s">
        <v>3011</v>
      </c>
      <c r="D803" s="170">
        <v>30521</v>
      </c>
      <c r="E803" s="169" t="s">
        <v>1533</v>
      </c>
      <c r="F803" s="168">
        <f t="shared" si="12"/>
      </c>
      <c r="G803" s="169" t="s">
        <v>1534</v>
      </c>
      <c r="H803" s="169" t="s">
        <v>2309</v>
      </c>
      <c r="I803" s="169" t="s">
        <v>2982</v>
      </c>
      <c r="J803" s="171"/>
    </row>
    <row r="804" spans="1:10" ht="19.5" customHeight="1">
      <c r="A804" s="167" t="s">
        <v>3012</v>
      </c>
      <c r="B804" s="168" t="str">
        <f>RIGHT("a12035663",LEN("a12035663")-1)</f>
        <v>12035663</v>
      </c>
      <c r="C804" s="169" t="s">
        <v>3013</v>
      </c>
      <c r="D804" s="170">
        <v>33180</v>
      </c>
      <c r="E804" s="169" t="s">
        <v>1533</v>
      </c>
      <c r="F804" s="168">
        <f t="shared" si="12"/>
      </c>
      <c r="G804" s="169" t="s">
        <v>1534</v>
      </c>
      <c r="H804" s="169" t="s">
        <v>2309</v>
      </c>
      <c r="I804" s="169" t="s">
        <v>2982</v>
      </c>
      <c r="J804" s="171"/>
    </row>
    <row r="805" spans="1:10" ht="19.5" customHeight="1">
      <c r="A805" s="167" t="s">
        <v>3014</v>
      </c>
      <c r="B805" s="168" t="str">
        <f>RIGHT("a12035216",LEN("a12035216")-1)</f>
        <v>12035216</v>
      </c>
      <c r="C805" s="169" t="s">
        <v>3015</v>
      </c>
      <c r="D805" s="170">
        <v>32145</v>
      </c>
      <c r="E805" s="169" t="s">
        <v>1533</v>
      </c>
      <c r="F805" s="168">
        <f t="shared" si="12"/>
      </c>
      <c r="G805" s="169" t="s">
        <v>1534</v>
      </c>
      <c r="H805" s="169" t="s">
        <v>2309</v>
      </c>
      <c r="I805" s="169" t="s">
        <v>2982</v>
      </c>
      <c r="J805" s="171"/>
    </row>
    <row r="806" spans="1:10" ht="19.5" customHeight="1">
      <c r="A806" s="167" t="s">
        <v>3016</v>
      </c>
      <c r="B806" s="168" t="str">
        <f>RIGHT("a12035654",LEN("a12035654")-1)</f>
        <v>12035654</v>
      </c>
      <c r="C806" s="169" t="s">
        <v>3017</v>
      </c>
      <c r="D806" s="170">
        <v>31907</v>
      </c>
      <c r="E806" s="169" t="s">
        <v>1533</v>
      </c>
      <c r="F806" s="168">
        <f t="shared" si="12"/>
      </c>
      <c r="G806" s="169" t="s">
        <v>1534</v>
      </c>
      <c r="H806" s="169" t="s">
        <v>2309</v>
      </c>
      <c r="I806" s="169" t="s">
        <v>2982</v>
      </c>
      <c r="J806" s="171"/>
    </row>
    <row r="807" spans="1:10" ht="19.5" customHeight="1">
      <c r="A807" s="167" t="s">
        <v>3018</v>
      </c>
      <c r="B807" s="168" t="str">
        <f>RIGHT("a12035655",LEN("a12035655")-1)</f>
        <v>12035655</v>
      </c>
      <c r="C807" s="169" t="s">
        <v>3019</v>
      </c>
      <c r="D807" s="170">
        <v>33227</v>
      </c>
      <c r="E807" s="169" t="s">
        <v>1533</v>
      </c>
      <c r="F807" s="168">
        <f t="shared" si="12"/>
      </c>
      <c r="G807" s="169" t="s">
        <v>1534</v>
      </c>
      <c r="H807" s="169" t="s">
        <v>2309</v>
      </c>
      <c r="I807" s="169" t="s">
        <v>2982</v>
      </c>
      <c r="J807" s="171"/>
    </row>
    <row r="808" spans="1:10" ht="19.5" customHeight="1">
      <c r="A808" s="167" t="s">
        <v>3020</v>
      </c>
      <c r="B808" s="168" t="str">
        <f>RIGHT("a12035217",LEN("a12035217")-1)</f>
        <v>12035217</v>
      </c>
      <c r="C808" s="169" t="s">
        <v>3021</v>
      </c>
      <c r="D808" s="170">
        <v>32796</v>
      </c>
      <c r="E808" s="169" t="s">
        <v>1533</v>
      </c>
      <c r="F808" s="168">
        <f t="shared" si="12"/>
      </c>
      <c r="G808" s="169" t="s">
        <v>1534</v>
      </c>
      <c r="H808" s="169" t="s">
        <v>2309</v>
      </c>
      <c r="I808" s="169" t="s">
        <v>2982</v>
      </c>
      <c r="J808" s="171"/>
    </row>
    <row r="809" spans="1:10" ht="19.5" customHeight="1">
      <c r="A809" s="167" t="s">
        <v>3022</v>
      </c>
      <c r="B809" s="168" t="str">
        <f>RIGHT("a12035635",LEN("a12035635")-1)</f>
        <v>12035635</v>
      </c>
      <c r="C809" s="169" t="s">
        <v>1508</v>
      </c>
      <c r="D809" s="170">
        <v>32798</v>
      </c>
      <c r="E809" s="169" t="s">
        <v>1533</v>
      </c>
      <c r="F809" s="168">
        <f t="shared" si="12"/>
      </c>
      <c r="G809" s="169" t="s">
        <v>1534</v>
      </c>
      <c r="H809" s="169" t="s">
        <v>2309</v>
      </c>
      <c r="I809" s="169" t="s">
        <v>2982</v>
      </c>
      <c r="J809" s="171"/>
    </row>
    <row r="810" spans="1:10" ht="19.5" customHeight="1">
      <c r="A810" s="167" t="s">
        <v>3023</v>
      </c>
      <c r="B810" s="168" t="str">
        <f>RIGHT("a12035636",LEN("a12035636")-1)</f>
        <v>12035636</v>
      </c>
      <c r="C810" s="169" t="s">
        <v>1509</v>
      </c>
      <c r="D810" s="170">
        <v>33024</v>
      </c>
      <c r="E810" s="169" t="s">
        <v>1533</v>
      </c>
      <c r="F810" s="168">
        <f t="shared" si="12"/>
      </c>
      <c r="G810" s="169" t="s">
        <v>1534</v>
      </c>
      <c r="H810" s="169" t="s">
        <v>2309</v>
      </c>
      <c r="I810" s="169" t="s">
        <v>2982</v>
      </c>
      <c r="J810" s="171"/>
    </row>
    <row r="811" spans="1:10" ht="19.5" customHeight="1">
      <c r="A811" s="167" t="s">
        <v>3024</v>
      </c>
      <c r="B811" s="168" t="str">
        <f>RIGHT("a12035642",LEN("a12035642")-1)</f>
        <v>12035642</v>
      </c>
      <c r="C811" s="169" t="s">
        <v>1510</v>
      </c>
      <c r="D811" s="170">
        <v>32776</v>
      </c>
      <c r="E811" s="169" t="s">
        <v>1533</v>
      </c>
      <c r="F811" s="168">
        <f t="shared" si="12"/>
      </c>
      <c r="G811" s="169" t="s">
        <v>1534</v>
      </c>
      <c r="H811" s="169" t="s">
        <v>2309</v>
      </c>
      <c r="I811" s="169" t="s">
        <v>2982</v>
      </c>
      <c r="J811" s="171"/>
    </row>
    <row r="812" spans="1:10" ht="19.5" customHeight="1">
      <c r="A812" s="167" t="s">
        <v>3025</v>
      </c>
      <c r="B812" s="168" t="str">
        <f>RIGHT("a12035667",LEN("a12035667")-1)</f>
        <v>12035667</v>
      </c>
      <c r="C812" s="169" t="s">
        <v>3026</v>
      </c>
      <c r="D812" s="170">
        <v>32890</v>
      </c>
      <c r="E812" s="169" t="s">
        <v>1533</v>
      </c>
      <c r="F812" s="168">
        <f t="shared" si="12"/>
      </c>
      <c r="G812" s="169" t="s">
        <v>1534</v>
      </c>
      <c r="H812" s="169" t="s">
        <v>2309</v>
      </c>
      <c r="I812" s="169" t="s">
        <v>2982</v>
      </c>
      <c r="J812" s="171"/>
    </row>
    <row r="813" spans="1:10" ht="19.5" customHeight="1">
      <c r="A813" s="167" t="s">
        <v>3027</v>
      </c>
      <c r="B813" s="168" t="str">
        <f>RIGHT("a12035659",LEN("a12035659")-1)</f>
        <v>12035659</v>
      </c>
      <c r="C813" s="169" t="s">
        <v>3028</v>
      </c>
      <c r="D813" s="170">
        <v>31250</v>
      </c>
      <c r="E813" s="169" t="s">
        <v>1533</v>
      </c>
      <c r="F813" s="168">
        <f t="shared" si="12"/>
      </c>
      <c r="G813" s="169" t="s">
        <v>1534</v>
      </c>
      <c r="H813" s="169" t="s">
        <v>2309</v>
      </c>
      <c r="I813" s="169" t="s">
        <v>2982</v>
      </c>
      <c r="J813" s="171"/>
    </row>
    <row r="814" spans="1:10" ht="19.5" customHeight="1">
      <c r="A814" s="167" t="s">
        <v>3029</v>
      </c>
      <c r="B814" s="168" t="str">
        <f>RIGHT("a12035630",LEN("a12035630")-1)</f>
        <v>12035630</v>
      </c>
      <c r="C814" s="169" t="s">
        <v>1511</v>
      </c>
      <c r="D814" s="170">
        <v>33056</v>
      </c>
      <c r="E814" s="169" t="s">
        <v>1533</v>
      </c>
      <c r="F814" s="168">
        <f t="shared" si="12"/>
      </c>
      <c r="G814" s="169" t="s">
        <v>1534</v>
      </c>
      <c r="H814" s="169" t="s">
        <v>2309</v>
      </c>
      <c r="I814" s="169" t="s">
        <v>2982</v>
      </c>
      <c r="J814" s="171"/>
    </row>
    <row r="815" spans="1:10" ht="19.5" customHeight="1">
      <c r="A815" s="167" t="s">
        <v>3030</v>
      </c>
      <c r="B815" s="168" t="str">
        <f>RIGHT("a12035637",LEN("a12035637")-1)</f>
        <v>12035637</v>
      </c>
      <c r="C815" s="169" t="s">
        <v>1512</v>
      </c>
      <c r="D815" s="170">
        <v>29087</v>
      </c>
      <c r="E815" s="169" t="s">
        <v>1533</v>
      </c>
      <c r="F815" s="168">
        <f t="shared" si="12"/>
      </c>
      <c r="G815" s="169" t="s">
        <v>1534</v>
      </c>
      <c r="H815" s="169" t="s">
        <v>2309</v>
      </c>
      <c r="I815" s="169" t="s">
        <v>2982</v>
      </c>
      <c r="J815" s="171"/>
    </row>
    <row r="816" spans="1:10" ht="19.5" customHeight="1">
      <c r="A816" s="167" t="s">
        <v>3031</v>
      </c>
      <c r="B816" s="168" t="str">
        <f>RIGHT("a12035218",LEN("a12035218")-1)</f>
        <v>12035218</v>
      </c>
      <c r="C816" s="169" t="s">
        <v>3032</v>
      </c>
      <c r="D816" s="170">
        <v>32210</v>
      </c>
      <c r="E816" s="169" t="s">
        <v>1533</v>
      </c>
      <c r="F816" s="168">
        <f t="shared" si="12"/>
      </c>
      <c r="G816" s="169" t="s">
        <v>1534</v>
      </c>
      <c r="H816" s="169" t="s">
        <v>2309</v>
      </c>
      <c r="I816" s="169" t="s">
        <v>2982</v>
      </c>
      <c r="J816" s="171"/>
    </row>
    <row r="817" spans="1:10" ht="19.5" customHeight="1">
      <c r="A817" s="167" t="s">
        <v>3033</v>
      </c>
      <c r="B817" s="168" t="str">
        <f>RIGHT("a12035657",LEN("a12035657")-1)</f>
        <v>12035657</v>
      </c>
      <c r="C817" s="169" t="s">
        <v>3034</v>
      </c>
      <c r="D817" s="170">
        <v>30774</v>
      </c>
      <c r="E817" s="169" t="s">
        <v>1533</v>
      </c>
      <c r="F817" s="168">
        <f t="shared" si="12"/>
      </c>
      <c r="G817" s="169" t="s">
        <v>1534</v>
      </c>
      <c r="H817" s="169" t="s">
        <v>2309</v>
      </c>
      <c r="I817" s="169" t="s">
        <v>2982</v>
      </c>
      <c r="J817" s="171"/>
    </row>
    <row r="818" spans="1:10" ht="19.5" customHeight="1">
      <c r="A818" s="167" t="s">
        <v>3035</v>
      </c>
      <c r="B818" s="168" t="str">
        <f>RIGHT("a12035666",LEN("a12035666")-1)</f>
        <v>12035666</v>
      </c>
      <c r="C818" s="169" t="s">
        <v>3036</v>
      </c>
      <c r="D818" s="170">
        <v>32982</v>
      </c>
      <c r="E818" s="169" t="s">
        <v>95</v>
      </c>
      <c r="F818" s="168">
        <f t="shared" si="12"/>
      </c>
      <c r="G818" s="169" t="s">
        <v>1534</v>
      </c>
      <c r="H818" s="169" t="s">
        <v>2309</v>
      </c>
      <c r="I818" s="169" t="s">
        <v>2982</v>
      </c>
      <c r="J818" s="171"/>
    </row>
    <row r="819" spans="1:10" ht="19.5" customHeight="1">
      <c r="A819" s="167" t="s">
        <v>3037</v>
      </c>
      <c r="B819" s="168" t="str">
        <f>RIGHT("a12035638",LEN("a12035638")-1)</f>
        <v>12035638</v>
      </c>
      <c r="C819" s="169" t="s">
        <v>1513</v>
      </c>
      <c r="D819" s="170">
        <v>31165</v>
      </c>
      <c r="E819" s="169" t="s">
        <v>1533</v>
      </c>
      <c r="F819" s="168">
        <f t="shared" si="12"/>
      </c>
      <c r="G819" s="169" t="s">
        <v>1534</v>
      </c>
      <c r="H819" s="169" t="s">
        <v>2309</v>
      </c>
      <c r="I819" s="169" t="s">
        <v>2982</v>
      </c>
      <c r="J819" s="171"/>
    </row>
    <row r="820" spans="1:10" ht="19.5" customHeight="1">
      <c r="A820" s="167" t="s">
        <v>3038</v>
      </c>
      <c r="B820" s="168" t="str">
        <f>RIGHT("a12035643",LEN("a12035643")-1)</f>
        <v>12035643</v>
      </c>
      <c r="C820" s="169" t="s">
        <v>1514</v>
      </c>
      <c r="D820" s="170">
        <v>33138</v>
      </c>
      <c r="E820" s="169" t="s">
        <v>1533</v>
      </c>
      <c r="F820" s="168">
        <f t="shared" si="12"/>
      </c>
      <c r="G820" s="169" t="s">
        <v>1534</v>
      </c>
      <c r="H820" s="169" t="s">
        <v>2309</v>
      </c>
      <c r="I820" s="169" t="s">
        <v>2982</v>
      </c>
      <c r="J820" s="171"/>
    </row>
    <row r="821" spans="1:10" ht="19.5" customHeight="1">
      <c r="A821" s="167" t="s">
        <v>3039</v>
      </c>
      <c r="B821" s="168" t="str">
        <f>RIGHT("a12035631",LEN("a12035631")-1)</f>
        <v>12035631</v>
      </c>
      <c r="C821" s="169" t="s">
        <v>3040</v>
      </c>
      <c r="D821" s="171"/>
      <c r="E821" s="169" t="s">
        <v>95</v>
      </c>
      <c r="F821" s="168">
        <f t="shared" si="12"/>
      </c>
      <c r="G821" s="169" t="s">
        <v>1534</v>
      </c>
      <c r="H821" s="169" t="s">
        <v>2309</v>
      </c>
      <c r="I821" s="169" t="s">
        <v>2982</v>
      </c>
      <c r="J821" s="171"/>
    </row>
    <row r="822" spans="1:10" ht="19.5" customHeight="1">
      <c r="A822" s="167" t="s">
        <v>3041</v>
      </c>
      <c r="B822" s="168" t="str">
        <f>RIGHT("a12035644",LEN("a12035644")-1)</f>
        <v>12035644</v>
      </c>
      <c r="C822" s="169" t="s">
        <v>1515</v>
      </c>
      <c r="D822" s="170">
        <v>29869</v>
      </c>
      <c r="E822" s="169" t="s">
        <v>1533</v>
      </c>
      <c r="F822" s="168">
        <f t="shared" si="12"/>
      </c>
      <c r="G822" s="169" t="s">
        <v>1534</v>
      </c>
      <c r="H822" s="169" t="s">
        <v>2309</v>
      </c>
      <c r="I822" s="169" t="s">
        <v>2982</v>
      </c>
      <c r="J822" s="171"/>
    </row>
    <row r="823" spans="1:10" ht="19.5" customHeight="1">
      <c r="A823" s="167" t="s">
        <v>3042</v>
      </c>
      <c r="B823" s="168" t="str">
        <f>RIGHT("a12035220",LEN("a12035220")-1)</f>
        <v>12035220</v>
      </c>
      <c r="C823" s="169" t="s">
        <v>3043</v>
      </c>
      <c r="D823" s="170">
        <v>32716</v>
      </c>
      <c r="E823" s="169" t="s">
        <v>1533</v>
      </c>
      <c r="F823" s="168">
        <f t="shared" si="12"/>
      </c>
      <c r="G823" s="169" t="s">
        <v>1534</v>
      </c>
      <c r="H823" s="169" t="s">
        <v>2309</v>
      </c>
      <c r="I823" s="169" t="s">
        <v>2982</v>
      </c>
      <c r="J823" s="171"/>
    </row>
    <row r="824" spans="1:10" ht="19.5" customHeight="1">
      <c r="A824" s="167" t="s">
        <v>3044</v>
      </c>
      <c r="B824" s="168" t="str">
        <f>RIGHT("a12035219",LEN("a12035219")-1)</f>
        <v>12035219</v>
      </c>
      <c r="C824" s="169" t="s">
        <v>2447</v>
      </c>
      <c r="D824" s="170">
        <v>30193</v>
      </c>
      <c r="E824" s="169" t="s">
        <v>1533</v>
      </c>
      <c r="F824" s="168">
        <f t="shared" si="12"/>
      </c>
      <c r="G824" s="169" t="s">
        <v>1534</v>
      </c>
      <c r="H824" s="169" t="s">
        <v>2309</v>
      </c>
      <c r="I824" s="169" t="s">
        <v>2982</v>
      </c>
      <c r="J824" s="171"/>
    </row>
    <row r="825" spans="1:10" ht="19.5" customHeight="1">
      <c r="A825" s="167" t="s">
        <v>3045</v>
      </c>
      <c r="B825" s="168" t="str">
        <f>RIGHT("a12035639",LEN("a12035639")-1)</f>
        <v>12035639</v>
      </c>
      <c r="C825" s="169" t="s">
        <v>1516</v>
      </c>
      <c r="D825" s="170">
        <v>27037</v>
      </c>
      <c r="E825" s="169" t="s">
        <v>1533</v>
      </c>
      <c r="F825" s="168">
        <f t="shared" si="12"/>
      </c>
      <c r="G825" s="169" t="s">
        <v>1534</v>
      </c>
      <c r="H825" s="169" t="s">
        <v>2309</v>
      </c>
      <c r="I825" s="169" t="s">
        <v>2982</v>
      </c>
      <c r="J825" s="171"/>
    </row>
    <row r="826" spans="1:10" ht="19.5" customHeight="1">
      <c r="A826" s="167" t="s">
        <v>3046</v>
      </c>
      <c r="B826" s="168" t="str">
        <f>RIGHT("a12035640",LEN("a12035640")-1)</f>
        <v>12035640</v>
      </c>
      <c r="C826" s="169" t="s">
        <v>1517</v>
      </c>
      <c r="D826" s="170">
        <v>32733</v>
      </c>
      <c r="E826" s="169" t="s">
        <v>95</v>
      </c>
      <c r="F826" s="168">
        <f t="shared" si="12"/>
      </c>
      <c r="G826" s="169" t="s">
        <v>1534</v>
      </c>
      <c r="H826" s="169" t="s">
        <v>2309</v>
      </c>
      <c r="I826" s="169" t="s">
        <v>2982</v>
      </c>
      <c r="J826" s="171"/>
    </row>
    <row r="827" spans="1:10" ht="19.5" customHeight="1">
      <c r="A827" s="167" t="s">
        <v>3047</v>
      </c>
      <c r="B827" s="168" t="str">
        <f>RIGHT("a12035645",LEN("a12035645")-1)</f>
        <v>12035645</v>
      </c>
      <c r="C827" s="169" t="s">
        <v>1446</v>
      </c>
      <c r="D827" s="170">
        <v>32913</v>
      </c>
      <c r="E827" s="169" t="s">
        <v>1533</v>
      </c>
      <c r="F827" s="168">
        <f t="shared" si="12"/>
      </c>
      <c r="G827" s="169" t="s">
        <v>1534</v>
      </c>
      <c r="H827" s="169" t="s">
        <v>2309</v>
      </c>
      <c r="I827" s="169" t="s">
        <v>2982</v>
      </c>
      <c r="J827" s="171"/>
    </row>
    <row r="828" spans="1:10" ht="19.5" customHeight="1">
      <c r="A828" s="167" t="s">
        <v>3048</v>
      </c>
      <c r="B828" s="168" t="str">
        <f>RIGHT("a12035646",LEN("a12035646")-1)</f>
        <v>12035646</v>
      </c>
      <c r="C828" s="169" t="s">
        <v>1518</v>
      </c>
      <c r="D828" s="170">
        <v>33131</v>
      </c>
      <c r="E828" s="169" t="s">
        <v>1533</v>
      </c>
      <c r="F828" s="168">
        <f t="shared" si="12"/>
      </c>
      <c r="G828" s="169" t="s">
        <v>1534</v>
      </c>
      <c r="H828" s="169" t="s">
        <v>2309</v>
      </c>
      <c r="I828" s="169" t="s">
        <v>2982</v>
      </c>
      <c r="J828" s="171"/>
    </row>
    <row r="829" spans="1:10" ht="19.5" customHeight="1">
      <c r="A829" s="167" t="s">
        <v>3049</v>
      </c>
      <c r="B829" s="168" t="str">
        <f>RIGHT("a12035221",LEN("a12035221")-1)</f>
        <v>12035221</v>
      </c>
      <c r="C829" s="169" t="s">
        <v>3050</v>
      </c>
      <c r="D829" s="170">
        <v>32314</v>
      </c>
      <c r="E829" s="169" t="s">
        <v>95</v>
      </c>
      <c r="F829" s="168">
        <f t="shared" si="12"/>
      </c>
      <c r="G829" s="169" t="s">
        <v>1534</v>
      </c>
      <c r="H829" s="169" t="s">
        <v>2309</v>
      </c>
      <c r="I829" s="169" t="s">
        <v>2982</v>
      </c>
      <c r="J829" s="171"/>
    </row>
    <row r="830" spans="1:10" ht="19.5" customHeight="1">
      <c r="A830" s="167" t="s">
        <v>3051</v>
      </c>
      <c r="B830" s="168" t="str">
        <f>RIGHT("a12035222",LEN("a12035222")-1)</f>
        <v>12035222</v>
      </c>
      <c r="C830" s="169" t="s">
        <v>3052</v>
      </c>
      <c r="D830" s="170">
        <v>28998</v>
      </c>
      <c r="E830" s="169" t="s">
        <v>1533</v>
      </c>
      <c r="F830" s="168">
        <f t="shared" si="12"/>
      </c>
      <c r="G830" s="169" t="s">
        <v>1534</v>
      </c>
      <c r="H830" s="169" t="s">
        <v>2309</v>
      </c>
      <c r="I830" s="169" t="s">
        <v>2982</v>
      </c>
      <c r="J830" s="171"/>
    </row>
    <row r="831" spans="1:10" ht="19.5" customHeight="1">
      <c r="A831" s="167" t="s">
        <v>3053</v>
      </c>
      <c r="B831" s="168" t="str">
        <f>RIGHT("a12035647",LEN("a12035647")-1)</f>
        <v>12035647</v>
      </c>
      <c r="C831" s="169" t="s">
        <v>1519</v>
      </c>
      <c r="D831" s="170">
        <v>32994</v>
      </c>
      <c r="E831" s="169" t="s">
        <v>1533</v>
      </c>
      <c r="F831" s="168">
        <f t="shared" si="12"/>
      </c>
      <c r="G831" s="169" t="s">
        <v>1534</v>
      </c>
      <c r="H831" s="169" t="s">
        <v>2309</v>
      </c>
      <c r="I831" s="169" t="s">
        <v>2982</v>
      </c>
      <c r="J831" s="171"/>
    </row>
    <row r="832" spans="1:10" ht="19.5" customHeight="1">
      <c r="A832" s="167" t="s">
        <v>3054</v>
      </c>
      <c r="B832" s="168" t="str">
        <f>RIGHT("a12035223",LEN("a12035223")-1)</f>
        <v>12035223</v>
      </c>
      <c r="C832" s="169" t="s">
        <v>1520</v>
      </c>
      <c r="D832" s="170">
        <v>32553</v>
      </c>
      <c r="E832" s="169" t="s">
        <v>1533</v>
      </c>
      <c r="F832" s="168">
        <f t="shared" si="12"/>
      </c>
      <c r="G832" s="169" t="s">
        <v>1534</v>
      </c>
      <c r="H832" s="169" t="s">
        <v>2309</v>
      </c>
      <c r="I832" s="169" t="s">
        <v>2982</v>
      </c>
      <c r="J832" s="171"/>
    </row>
    <row r="833" spans="1:10" ht="19.5" customHeight="1">
      <c r="A833" s="167" t="s">
        <v>3055</v>
      </c>
      <c r="B833" s="168" t="str">
        <f>RIGHT("a12035648",LEN("a12035648")-1)</f>
        <v>12035648</v>
      </c>
      <c r="C833" s="169" t="s">
        <v>3056</v>
      </c>
      <c r="D833" s="170">
        <v>29260</v>
      </c>
      <c r="E833" s="169" t="s">
        <v>95</v>
      </c>
      <c r="F833" s="168">
        <f t="shared" si="12"/>
      </c>
      <c r="G833" s="169" t="s">
        <v>1534</v>
      </c>
      <c r="H833" s="169" t="s">
        <v>2309</v>
      </c>
      <c r="I833" s="169" t="s">
        <v>2982</v>
      </c>
      <c r="J833" s="171"/>
    </row>
    <row r="834" spans="1:10" ht="19.5" customHeight="1">
      <c r="A834" s="167" t="s">
        <v>3057</v>
      </c>
      <c r="B834" s="168" t="str">
        <f>RIGHT("a12035224",LEN("a12035224")-1)</f>
        <v>12035224</v>
      </c>
      <c r="C834" s="169" t="s">
        <v>2208</v>
      </c>
      <c r="D834" s="170">
        <v>26878</v>
      </c>
      <c r="E834" s="169" t="s">
        <v>1533</v>
      </c>
      <c r="F834" s="168">
        <f aca="true" t="shared" si="13" ref="F834:F879">RIGHT("a",LEN("a")-1)</f>
      </c>
      <c r="G834" s="169" t="s">
        <v>1534</v>
      </c>
      <c r="H834" s="169" t="s">
        <v>2309</v>
      </c>
      <c r="I834" s="169" t="s">
        <v>2982</v>
      </c>
      <c r="J834" s="171"/>
    </row>
    <row r="835" spans="1:10" ht="19.5" customHeight="1">
      <c r="A835" s="167" t="s">
        <v>3058</v>
      </c>
      <c r="B835" s="168" t="str">
        <f>RIGHT("a12035225",LEN("a12035225")-1)</f>
        <v>12035225</v>
      </c>
      <c r="C835" s="169" t="s">
        <v>3059</v>
      </c>
      <c r="D835" s="170">
        <v>32044</v>
      </c>
      <c r="E835" s="169" t="s">
        <v>1533</v>
      </c>
      <c r="F835" s="168">
        <f t="shared" si="13"/>
      </c>
      <c r="G835" s="169" t="s">
        <v>1534</v>
      </c>
      <c r="H835" s="169" t="s">
        <v>858</v>
      </c>
      <c r="I835" s="169" t="s">
        <v>3060</v>
      </c>
      <c r="J835" s="171"/>
    </row>
    <row r="836" spans="1:10" ht="19.5" customHeight="1">
      <c r="A836" s="167" t="s">
        <v>3061</v>
      </c>
      <c r="B836" s="168" t="str">
        <f>RIGHT("a12035685",LEN("a12035685")-1)</f>
        <v>12035685</v>
      </c>
      <c r="C836" s="169" t="s">
        <v>3062</v>
      </c>
      <c r="D836" s="170">
        <v>31168</v>
      </c>
      <c r="E836" s="169" t="s">
        <v>95</v>
      </c>
      <c r="F836" s="168">
        <f t="shared" si="13"/>
      </c>
      <c r="G836" s="169" t="s">
        <v>1534</v>
      </c>
      <c r="H836" s="169" t="s">
        <v>858</v>
      </c>
      <c r="I836" s="169" t="s">
        <v>3060</v>
      </c>
      <c r="J836" s="171"/>
    </row>
    <row r="837" spans="1:10" ht="19.5" customHeight="1">
      <c r="A837" s="167" t="s">
        <v>3063</v>
      </c>
      <c r="B837" s="168" t="str">
        <f>RIGHT("a12035672",LEN("a12035672")-1)</f>
        <v>12035672</v>
      </c>
      <c r="C837" s="169" t="s">
        <v>3064</v>
      </c>
      <c r="D837" s="170">
        <v>32179</v>
      </c>
      <c r="E837" s="169" t="s">
        <v>1533</v>
      </c>
      <c r="F837" s="168">
        <f t="shared" si="13"/>
      </c>
      <c r="G837" s="169" t="s">
        <v>1534</v>
      </c>
      <c r="H837" s="169" t="s">
        <v>858</v>
      </c>
      <c r="I837" s="169" t="s">
        <v>3060</v>
      </c>
      <c r="J837" s="171"/>
    </row>
    <row r="838" spans="1:10" ht="19.5" customHeight="1">
      <c r="A838" s="167" t="s">
        <v>3065</v>
      </c>
      <c r="B838" s="168" t="str">
        <f>RIGHT("a12035226",LEN("a12035226")-1)</f>
        <v>12035226</v>
      </c>
      <c r="C838" s="169" t="s">
        <v>3066</v>
      </c>
      <c r="D838" s="170">
        <v>32777</v>
      </c>
      <c r="E838" s="169" t="s">
        <v>1533</v>
      </c>
      <c r="F838" s="168">
        <f t="shared" si="13"/>
      </c>
      <c r="G838" s="169" t="s">
        <v>1534</v>
      </c>
      <c r="H838" s="169" t="s">
        <v>858</v>
      </c>
      <c r="I838" s="169" t="s">
        <v>3060</v>
      </c>
      <c r="J838" s="171"/>
    </row>
    <row r="839" spans="1:10" ht="19.5" customHeight="1">
      <c r="A839" s="167" t="s">
        <v>3067</v>
      </c>
      <c r="B839" s="168" t="str">
        <f>RIGHT("a12035227",LEN("a12035227")-1)</f>
        <v>12035227</v>
      </c>
      <c r="C839" s="169" t="s">
        <v>3068</v>
      </c>
      <c r="D839" s="170">
        <v>31413</v>
      </c>
      <c r="E839" s="169" t="s">
        <v>95</v>
      </c>
      <c r="F839" s="168">
        <f t="shared" si="13"/>
      </c>
      <c r="G839" s="169" t="s">
        <v>1534</v>
      </c>
      <c r="H839" s="169" t="s">
        <v>858</v>
      </c>
      <c r="I839" s="169" t="s">
        <v>3060</v>
      </c>
      <c r="J839" s="171"/>
    </row>
    <row r="840" spans="1:10" ht="19.5" customHeight="1">
      <c r="A840" s="167" t="s">
        <v>3069</v>
      </c>
      <c r="B840" s="168" t="str">
        <f>RIGHT("a12035228",LEN("a12035228")-1)</f>
        <v>12035228</v>
      </c>
      <c r="C840" s="169" t="s">
        <v>3070</v>
      </c>
      <c r="D840" s="170">
        <v>32621</v>
      </c>
      <c r="E840" s="169" t="s">
        <v>1533</v>
      </c>
      <c r="F840" s="168">
        <f t="shared" si="13"/>
      </c>
      <c r="G840" s="169" t="s">
        <v>1534</v>
      </c>
      <c r="H840" s="169" t="s">
        <v>858</v>
      </c>
      <c r="I840" s="169" t="s">
        <v>3060</v>
      </c>
      <c r="J840" s="171"/>
    </row>
    <row r="841" spans="1:10" ht="19.5" customHeight="1">
      <c r="A841" s="167" t="s">
        <v>3071</v>
      </c>
      <c r="B841" s="168" t="str">
        <f>RIGHT("a12035229",LEN("a12035229")-1)</f>
        <v>12035229</v>
      </c>
      <c r="C841" s="169" t="s">
        <v>3072</v>
      </c>
      <c r="D841" s="170">
        <v>32719</v>
      </c>
      <c r="E841" s="169" t="s">
        <v>95</v>
      </c>
      <c r="F841" s="168">
        <f t="shared" si="13"/>
      </c>
      <c r="G841" s="169" t="s">
        <v>1534</v>
      </c>
      <c r="H841" s="169" t="s">
        <v>858</v>
      </c>
      <c r="I841" s="169" t="s">
        <v>3060</v>
      </c>
      <c r="J841" s="171"/>
    </row>
    <row r="842" spans="1:10" ht="19.5" customHeight="1">
      <c r="A842" s="167" t="s">
        <v>3073</v>
      </c>
      <c r="B842" s="168" t="str">
        <f>RIGHT("a12035679",LEN("a12035679")-1)</f>
        <v>12035679</v>
      </c>
      <c r="C842" s="169" t="s">
        <v>3074</v>
      </c>
      <c r="D842" s="170">
        <v>31171</v>
      </c>
      <c r="E842" s="169" t="s">
        <v>1533</v>
      </c>
      <c r="F842" s="168">
        <f t="shared" si="13"/>
      </c>
      <c r="G842" s="169" t="s">
        <v>1534</v>
      </c>
      <c r="H842" s="169" t="s">
        <v>858</v>
      </c>
      <c r="I842" s="169" t="s">
        <v>3060</v>
      </c>
      <c r="J842" s="171"/>
    </row>
    <row r="843" spans="1:10" ht="19.5" customHeight="1">
      <c r="A843" s="167" t="s">
        <v>3075</v>
      </c>
      <c r="B843" s="168" t="str">
        <f>RIGHT("a12035676",LEN("a12035676")-1)</f>
        <v>12035676</v>
      </c>
      <c r="C843" s="169" t="s">
        <v>2139</v>
      </c>
      <c r="D843" s="170">
        <v>32259</v>
      </c>
      <c r="E843" s="169" t="s">
        <v>1533</v>
      </c>
      <c r="F843" s="168">
        <f t="shared" si="13"/>
      </c>
      <c r="G843" s="169" t="s">
        <v>1534</v>
      </c>
      <c r="H843" s="169" t="s">
        <v>858</v>
      </c>
      <c r="I843" s="169" t="s">
        <v>3060</v>
      </c>
      <c r="J843" s="171"/>
    </row>
    <row r="844" spans="1:10" ht="19.5" customHeight="1">
      <c r="A844" s="167" t="s">
        <v>3076</v>
      </c>
      <c r="B844" s="168" t="str">
        <f>RIGHT("a12035677",LEN("a12035677")-1)</f>
        <v>12035677</v>
      </c>
      <c r="C844" s="169" t="s">
        <v>3077</v>
      </c>
      <c r="D844" s="170">
        <v>29431</v>
      </c>
      <c r="E844" s="169" t="s">
        <v>1533</v>
      </c>
      <c r="F844" s="168">
        <f t="shared" si="13"/>
      </c>
      <c r="G844" s="169" t="s">
        <v>1534</v>
      </c>
      <c r="H844" s="169" t="s">
        <v>858</v>
      </c>
      <c r="I844" s="169" t="s">
        <v>3060</v>
      </c>
      <c r="J844" s="171"/>
    </row>
    <row r="845" spans="1:10" ht="19.5" customHeight="1">
      <c r="A845" s="167" t="s">
        <v>3078</v>
      </c>
      <c r="B845" s="168" t="str">
        <f>RIGHT("a12035668",LEN("a12035668")-1)</f>
        <v>12035668</v>
      </c>
      <c r="C845" s="169" t="s">
        <v>3079</v>
      </c>
      <c r="D845" s="170">
        <v>32824</v>
      </c>
      <c r="E845" s="169" t="s">
        <v>1533</v>
      </c>
      <c r="F845" s="168">
        <f t="shared" si="13"/>
      </c>
      <c r="G845" s="169" t="s">
        <v>1534</v>
      </c>
      <c r="H845" s="169" t="s">
        <v>858</v>
      </c>
      <c r="I845" s="169" t="s">
        <v>3060</v>
      </c>
      <c r="J845" s="171"/>
    </row>
    <row r="846" spans="1:10" ht="19.5" customHeight="1">
      <c r="A846" s="167" t="s">
        <v>3080</v>
      </c>
      <c r="B846" s="168" t="str">
        <f>RIGHT("a12035674",LEN("a12035674")-1)</f>
        <v>12035674</v>
      </c>
      <c r="C846" s="169" t="s">
        <v>3081</v>
      </c>
      <c r="D846" s="170">
        <v>30076</v>
      </c>
      <c r="E846" s="169" t="s">
        <v>1533</v>
      </c>
      <c r="F846" s="168">
        <f t="shared" si="13"/>
      </c>
      <c r="G846" s="169" t="s">
        <v>1534</v>
      </c>
      <c r="H846" s="169" t="s">
        <v>858</v>
      </c>
      <c r="I846" s="169" t="s">
        <v>3060</v>
      </c>
      <c r="J846" s="171"/>
    </row>
    <row r="847" spans="1:10" ht="19.5" customHeight="1">
      <c r="A847" s="167" t="s">
        <v>3082</v>
      </c>
      <c r="B847" s="168" t="str">
        <f>RIGHT("a12035673",LEN("a12035673")-1)</f>
        <v>12035673</v>
      </c>
      <c r="C847" s="169" t="s">
        <v>266</v>
      </c>
      <c r="D847" s="170">
        <v>32027</v>
      </c>
      <c r="E847" s="169" t="s">
        <v>1533</v>
      </c>
      <c r="F847" s="168">
        <f t="shared" si="13"/>
      </c>
      <c r="G847" s="169" t="s">
        <v>1534</v>
      </c>
      <c r="H847" s="169" t="s">
        <v>858</v>
      </c>
      <c r="I847" s="169" t="s">
        <v>3060</v>
      </c>
      <c r="J847" s="171"/>
    </row>
    <row r="848" spans="1:10" ht="19.5" customHeight="1">
      <c r="A848" s="167" t="s">
        <v>3083</v>
      </c>
      <c r="B848" s="168" t="str">
        <f>RIGHT("a12035669",LEN("a12035669")-1)</f>
        <v>12035669</v>
      </c>
      <c r="C848" s="169" t="s">
        <v>3084</v>
      </c>
      <c r="D848" s="170">
        <v>33118</v>
      </c>
      <c r="E848" s="169" t="s">
        <v>1533</v>
      </c>
      <c r="F848" s="168">
        <f t="shared" si="13"/>
      </c>
      <c r="G848" s="169" t="s">
        <v>1534</v>
      </c>
      <c r="H848" s="169" t="s">
        <v>858</v>
      </c>
      <c r="I848" s="169" t="s">
        <v>3060</v>
      </c>
      <c r="J848" s="171"/>
    </row>
    <row r="849" spans="1:10" ht="19.5" customHeight="1">
      <c r="A849" s="167" t="s">
        <v>3085</v>
      </c>
      <c r="B849" s="168" t="str">
        <f>RIGHT("a12035675",LEN("a12035675")-1)</f>
        <v>12035675</v>
      </c>
      <c r="C849" s="169" t="s">
        <v>3086</v>
      </c>
      <c r="D849" s="170">
        <v>32235</v>
      </c>
      <c r="E849" s="169" t="s">
        <v>1533</v>
      </c>
      <c r="F849" s="168">
        <f t="shared" si="13"/>
      </c>
      <c r="G849" s="169" t="s">
        <v>1534</v>
      </c>
      <c r="H849" s="169" t="s">
        <v>858</v>
      </c>
      <c r="I849" s="169" t="s">
        <v>3060</v>
      </c>
      <c r="J849" s="171"/>
    </row>
    <row r="850" spans="1:10" ht="19.5" customHeight="1">
      <c r="A850" s="167" t="s">
        <v>3087</v>
      </c>
      <c r="B850" s="168" t="str">
        <f>RIGHT("a12035691",LEN("a12035691")-1)</f>
        <v>12035691</v>
      </c>
      <c r="C850" s="169" t="s">
        <v>3088</v>
      </c>
      <c r="D850" s="170">
        <v>29357</v>
      </c>
      <c r="E850" s="169" t="s">
        <v>1533</v>
      </c>
      <c r="F850" s="168">
        <f t="shared" si="13"/>
      </c>
      <c r="G850" s="169" t="s">
        <v>1534</v>
      </c>
      <c r="H850" s="169" t="s">
        <v>858</v>
      </c>
      <c r="I850" s="169" t="s">
        <v>3060</v>
      </c>
      <c r="J850" s="171"/>
    </row>
    <row r="851" spans="1:10" ht="19.5" customHeight="1">
      <c r="A851" s="167" t="s">
        <v>3089</v>
      </c>
      <c r="B851" s="168" t="str">
        <f>RIGHT("a12035690",LEN("a12035690")-1)</f>
        <v>12035690</v>
      </c>
      <c r="C851" s="169" t="s">
        <v>3090</v>
      </c>
      <c r="D851" s="170">
        <v>33025</v>
      </c>
      <c r="E851" s="169" t="s">
        <v>1533</v>
      </c>
      <c r="F851" s="168">
        <f t="shared" si="13"/>
      </c>
      <c r="G851" s="169" t="s">
        <v>1534</v>
      </c>
      <c r="H851" s="169" t="s">
        <v>858</v>
      </c>
      <c r="I851" s="169" t="s">
        <v>3060</v>
      </c>
      <c r="J851" s="171"/>
    </row>
    <row r="852" spans="1:10" ht="19.5" customHeight="1">
      <c r="A852" s="167" t="s">
        <v>3091</v>
      </c>
      <c r="B852" s="168" t="str">
        <f>RIGHT("a12035680",LEN("a12035680")-1)</f>
        <v>12035680</v>
      </c>
      <c r="C852" s="169" t="s">
        <v>3092</v>
      </c>
      <c r="D852" s="170">
        <v>32612</v>
      </c>
      <c r="E852" s="169" t="s">
        <v>1533</v>
      </c>
      <c r="F852" s="168">
        <f t="shared" si="13"/>
      </c>
      <c r="G852" s="169" t="s">
        <v>1534</v>
      </c>
      <c r="H852" s="169" t="s">
        <v>858</v>
      </c>
      <c r="I852" s="169" t="s">
        <v>3060</v>
      </c>
      <c r="J852" s="171"/>
    </row>
    <row r="853" spans="1:10" ht="19.5" customHeight="1">
      <c r="A853" s="167" t="s">
        <v>3093</v>
      </c>
      <c r="B853" s="168" t="str">
        <f>RIGHT("a12035688",LEN("a12035688")-1)</f>
        <v>12035688</v>
      </c>
      <c r="C853" s="169" t="s">
        <v>3094</v>
      </c>
      <c r="D853" s="170">
        <v>30253</v>
      </c>
      <c r="E853" s="169" t="s">
        <v>1533</v>
      </c>
      <c r="F853" s="168">
        <f t="shared" si="13"/>
      </c>
      <c r="G853" s="169" t="s">
        <v>1534</v>
      </c>
      <c r="H853" s="169" t="s">
        <v>858</v>
      </c>
      <c r="I853" s="169" t="s">
        <v>3060</v>
      </c>
      <c r="J853" s="171"/>
    </row>
    <row r="854" spans="1:10" ht="19.5" customHeight="1">
      <c r="A854" s="167" t="s">
        <v>3095</v>
      </c>
      <c r="B854" s="168" t="str">
        <f>RIGHT("a12035230",LEN("a12035230")-1)</f>
        <v>12035230</v>
      </c>
      <c r="C854" s="169" t="s">
        <v>3096</v>
      </c>
      <c r="D854" s="170">
        <v>29713</v>
      </c>
      <c r="E854" s="169" t="s">
        <v>1533</v>
      </c>
      <c r="F854" s="168">
        <f t="shared" si="13"/>
      </c>
      <c r="G854" s="169" t="s">
        <v>1534</v>
      </c>
      <c r="H854" s="169" t="s">
        <v>858</v>
      </c>
      <c r="I854" s="169" t="s">
        <v>3060</v>
      </c>
      <c r="J854" s="171"/>
    </row>
    <row r="855" spans="1:10" ht="19.5" customHeight="1">
      <c r="A855" s="167" t="s">
        <v>3097</v>
      </c>
      <c r="B855" s="168" t="str">
        <f>RIGHT("a12035678",LEN("a12035678")-1)</f>
        <v>12035678</v>
      </c>
      <c r="C855" s="169" t="s">
        <v>3098</v>
      </c>
      <c r="D855" s="170">
        <v>32730</v>
      </c>
      <c r="E855" s="169" t="s">
        <v>1533</v>
      </c>
      <c r="F855" s="168">
        <f t="shared" si="13"/>
      </c>
      <c r="G855" s="169" t="s">
        <v>1534</v>
      </c>
      <c r="H855" s="169" t="s">
        <v>858</v>
      </c>
      <c r="I855" s="169" t="s">
        <v>3060</v>
      </c>
      <c r="J855" s="171"/>
    </row>
    <row r="856" spans="1:10" ht="19.5" customHeight="1">
      <c r="A856" s="167" t="s">
        <v>3099</v>
      </c>
      <c r="B856" s="168" t="str">
        <f>RIGHT("a12035231",LEN("a12035231")-1)</f>
        <v>12035231</v>
      </c>
      <c r="C856" s="169" t="s">
        <v>3100</v>
      </c>
      <c r="D856" s="170">
        <v>32185</v>
      </c>
      <c r="E856" s="169" t="s">
        <v>1533</v>
      </c>
      <c r="F856" s="168">
        <f t="shared" si="13"/>
      </c>
      <c r="G856" s="169" t="s">
        <v>1534</v>
      </c>
      <c r="H856" s="169" t="s">
        <v>858</v>
      </c>
      <c r="I856" s="169" t="s">
        <v>3060</v>
      </c>
      <c r="J856" s="171"/>
    </row>
    <row r="857" spans="1:10" ht="19.5" customHeight="1">
      <c r="A857" s="167" t="s">
        <v>3101</v>
      </c>
      <c r="B857" s="168" t="str">
        <f>RIGHT("a12035686",LEN("a12035686")-1)</f>
        <v>12035686</v>
      </c>
      <c r="C857" s="169" t="s">
        <v>380</v>
      </c>
      <c r="D857" s="170">
        <v>32668</v>
      </c>
      <c r="E857" s="169" t="s">
        <v>1533</v>
      </c>
      <c r="F857" s="168">
        <f t="shared" si="13"/>
      </c>
      <c r="G857" s="169" t="s">
        <v>1534</v>
      </c>
      <c r="H857" s="169" t="s">
        <v>858</v>
      </c>
      <c r="I857" s="169" t="s">
        <v>3060</v>
      </c>
      <c r="J857" s="171"/>
    </row>
    <row r="858" spans="1:10" ht="19.5" customHeight="1">
      <c r="A858" s="167" t="s">
        <v>3102</v>
      </c>
      <c r="B858" s="168" t="str">
        <f>RIGHT("a12035687",LEN("a12035687")-1)</f>
        <v>12035687</v>
      </c>
      <c r="C858" s="169" t="s">
        <v>3103</v>
      </c>
      <c r="D858" s="170">
        <v>32379</v>
      </c>
      <c r="E858" s="169" t="s">
        <v>1533</v>
      </c>
      <c r="F858" s="168">
        <f t="shared" si="13"/>
      </c>
      <c r="G858" s="169" t="s">
        <v>1534</v>
      </c>
      <c r="H858" s="169" t="s">
        <v>858</v>
      </c>
      <c r="I858" s="169" t="s">
        <v>3060</v>
      </c>
      <c r="J858" s="171"/>
    </row>
    <row r="859" spans="1:10" ht="19.5" customHeight="1">
      <c r="A859" s="167" t="s">
        <v>3104</v>
      </c>
      <c r="B859" s="168" t="str">
        <f>RIGHT("a12035232",LEN("a12035232")-1)</f>
        <v>12035232</v>
      </c>
      <c r="C859" s="169" t="s">
        <v>3105</v>
      </c>
      <c r="D859" s="170">
        <v>31358</v>
      </c>
      <c r="E859" s="169" t="s">
        <v>1533</v>
      </c>
      <c r="F859" s="168">
        <f t="shared" si="13"/>
      </c>
      <c r="G859" s="169" t="s">
        <v>1534</v>
      </c>
      <c r="H859" s="169" t="s">
        <v>858</v>
      </c>
      <c r="I859" s="169" t="s">
        <v>3060</v>
      </c>
      <c r="J859" s="171"/>
    </row>
    <row r="860" spans="1:10" ht="19.5" customHeight="1">
      <c r="A860" s="167" t="s">
        <v>3106</v>
      </c>
      <c r="B860" s="168" t="str">
        <f>RIGHT("a12035681",LEN("a12035681")-1)</f>
        <v>12035681</v>
      </c>
      <c r="C860" s="169" t="s">
        <v>3107</v>
      </c>
      <c r="D860" s="170">
        <v>32599</v>
      </c>
      <c r="E860" s="169" t="s">
        <v>1533</v>
      </c>
      <c r="F860" s="168">
        <f t="shared" si="13"/>
      </c>
      <c r="G860" s="169" t="s">
        <v>1534</v>
      </c>
      <c r="H860" s="169" t="s">
        <v>858</v>
      </c>
      <c r="I860" s="169" t="s">
        <v>3060</v>
      </c>
      <c r="J860" s="171"/>
    </row>
    <row r="861" spans="1:10" ht="19.5" customHeight="1">
      <c r="A861" s="167" t="s">
        <v>3108</v>
      </c>
      <c r="B861" s="168" t="str">
        <f>RIGHT("a12035682",LEN("a12035682")-1)</f>
        <v>12035682</v>
      </c>
      <c r="C861" s="169" t="s">
        <v>2905</v>
      </c>
      <c r="D861" s="170">
        <v>33101</v>
      </c>
      <c r="E861" s="169" t="s">
        <v>1533</v>
      </c>
      <c r="F861" s="168">
        <f t="shared" si="13"/>
      </c>
      <c r="G861" s="169" t="s">
        <v>1534</v>
      </c>
      <c r="H861" s="169" t="s">
        <v>858</v>
      </c>
      <c r="I861" s="169" t="s">
        <v>3060</v>
      </c>
      <c r="J861" s="171"/>
    </row>
    <row r="862" spans="1:10" ht="19.5" customHeight="1">
      <c r="A862" s="167" t="s">
        <v>3109</v>
      </c>
      <c r="B862" s="168" t="str">
        <f>RIGHT("a12035233",LEN("a12035233")-1)</f>
        <v>12035233</v>
      </c>
      <c r="C862" s="169" t="s">
        <v>3110</v>
      </c>
      <c r="D862" s="171"/>
      <c r="E862" s="169" t="s">
        <v>1533</v>
      </c>
      <c r="F862" s="168">
        <f t="shared" si="13"/>
      </c>
      <c r="G862" s="169" t="s">
        <v>1534</v>
      </c>
      <c r="H862" s="169" t="s">
        <v>858</v>
      </c>
      <c r="I862" s="169" t="s">
        <v>3060</v>
      </c>
      <c r="J862" s="171"/>
    </row>
    <row r="863" spans="1:10" ht="19.5" customHeight="1">
      <c r="A863" s="167" t="s">
        <v>3111</v>
      </c>
      <c r="B863" s="168" t="str">
        <f>RIGHT("a12035670",LEN("a12035670")-1)</f>
        <v>12035670</v>
      </c>
      <c r="C863" s="169" t="s">
        <v>3112</v>
      </c>
      <c r="D863" s="170">
        <v>32696</v>
      </c>
      <c r="E863" s="169" t="s">
        <v>1533</v>
      </c>
      <c r="F863" s="168">
        <f t="shared" si="13"/>
      </c>
      <c r="G863" s="169" t="s">
        <v>1534</v>
      </c>
      <c r="H863" s="169" t="s">
        <v>858</v>
      </c>
      <c r="I863" s="169" t="s">
        <v>3060</v>
      </c>
      <c r="J863" s="171"/>
    </row>
    <row r="864" spans="1:10" ht="19.5" customHeight="1">
      <c r="A864" s="167" t="s">
        <v>3113</v>
      </c>
      <c r="B864" s="168" t="str">
        <f>RIGHT("a12035689",LEN("a12035689")-1)</f>
        <v>12035689</v>
      </c>
      <c r="C864" s="169" t="s">
        <v>3114</v>
      </c>
      <c r="D864" s="170">
        <v>33035</v>
      </c>
      <c r="E864" s="169" t="s">
        <v>1533</v>
      </c>
      <c r="F864" s="168">
        <f t="shared" si="13"/>
      </c>
      <c r="G864" s="169" t="s">
        <v>1534</v>
      </c>
      <c r="H864" s="169" t="s">
        <v>858</v>
      </c>
      <c r="I864" s="169" t="s">
        <v>3060</v>
      </c>
      <c r="J864" s="171"/>
    </row>
    <row r="865" spans="1:10" ht="19.5" customHeight="1">
      <c r="A865" s="167" t="s">
        <v>3115</v>
      </c>
      <c r="B865" s="168" t="str">
        <f>RIGHT("a12035235",LEN("a12035235")-1)</f>
        <v>12035235</v>
      </c>
      <c r="C865" s="169" t="s">
        <v>3116</v>
      </c>
      <c r="D865" s="170">
        <v>31882</v>
      </c>
      <c r="E865" s="169" t="s">
        <v>1533</v>
      </c>
      <c r="F865" s="168">
        <f t="shared" si="13"/>
      </c>
      <c r="G865" s="169" t="s">
        <v>1534</v>
      </c>
      <c r="H865" s="169" t="s">
        <v>858</v>
      </c>
      <c r="I865" s="169" t="s">
        <v>3060</v>
      </c>
      <c r="J865" s="171"/>
    </row>
    <row r="866" spans="1:10" ht="19.5" customHeight="1">
      <c r="A866" s="167" t="s">
        <v>3117</v>
      </c>
      <c r="B866" s="168" t="str">
        <f>RIGHT("a12035234",LEN("a12035234")-1)</f>
        <v>12035234</v>
      </c>
      <c r="C866" s="169" t="s">
        <v>3118</v>
      </c>
      <c r="D866" s="170">
        <v>32555</v>
      </c>
      <c r="E866" s="169" t="s">
        <v>1533</v>
      </c>
      <c r="F866" s="168">
        <f t="shared" si="13"/>
      </c>
      <c r="G866" s="169" t="s">
        <v>1534</v>
      </c>
      <c r="H866" s="169" t="s">
        <v>858</v>
      </c>
      <c r="I866" s="169" t="s">
        <v>3060</v>
      </c>
      <c r="J866" s="171"/>
    </row>
    <row r="867" spans="1:10" ht="19.5" customHeight="1">
      <c r="A867" s="167" t="s">
        <v>3119</v>
      </c>
      <c r="B867" s="168" t="str">
        <f>RIGHT("a12035671",LEN("a12035671")-1)</f>
        <v>12035671</v>
      </c>
      <c r="C867" s="169" t="s">
        <v>3120</v>
      </c>
      <c r="D867" s="170">
        <v>32843</v>
      </c>
      <c r="E867" s="169" t="s">
        <v>1533</v>
      </c>
      <c r="F867" s="168">
        <f t="shared" si="13"/>
      </c>
      <c r="G867" s="169" t="s">
        <v>1534</v>
      </c>
      <c r="H867" s="169" t="s">
        <v>858</v>
      </c>
      <c r="I867" s="169" t="s">
        <v>3060</v>
      </c>
      <c r="J867" s="171"/>
    </row>
    <row r="868" spans="1:10" ht="19.5" customHeight="1">
      <c r="A868" s="167" t="s">
        <v>3121</v>
      </c>
      <c r="B868" s="168" t="str">
        <f>RIGHT("a12035236",LEN("a12035236")-1)</f>
        <v>12035236</v>
      </c>
      <c r="C868" s="169" t="s">
        <v>2241</v>
      </c>
      <c r="D868" s="170">
        <v>32293</v>
      </c>
      <c r="E868" s="169" t="s">
        <v>1533</v>
      </c>
      <c r="F868" s="168">
        <f t="shared" si="13"/>
      </c>
      <c r="G868" s="169" t="s">
        <v>1534</v>
      </c>
      <c r="H868" s="169" t="s">
        <v>858</v>
      </c>
      <c r="I868" s="169" t="s">
        <v>3060</v>
      </c>
      <c r="J868" s="171"/>
    </row>
    <row r="869" spans="1:10" ht="19.5" customHeight="1">
      <c r="A869" s="167" t="s">
        <v>3122</v>
      </c>
      <c r="B869" s="168" t="str">
        <f>RIGHT("a12035237",LEN("a12035237")-1)</f>
        <v>12035237</v>
      </c>
      <c r="C869" s="169" t="s">
        <v>3123</v>
      </c>
      <c r="D869" s="170">
        <v>30318</v>
      </c>
      <c r="E869" s="169" t="s">
        <v>1533</v>
      </c>
      <c r="F869" s="168">
        <f t="shared" si="13"/>
      </c>
      <c r="G869" s="169" t="s">
        <v>1534</v>
      </c>
      <c r="H869" s="169" t="s">
        <v>858</v>
      </c>
      <c r="I869" s="169" t="s">
        <v>3060</v>
      </c>
      <c r="J869" s="171"/>
    </row>
    <row r="870" spans="1:10" ht="19.5" customHeight="1">
      <c r="A870" s="167" t="s">
        <v>3124</v>
      </c>
      <c r="B870" s="168" t="str">
        <f>RIGHT("a12035683",LEN("a12035683")-1)</f>
        <v>12035683</v>
      </c>
      <c r="C870" s="169" t="s">
        <v>3125</v>
      </c>
      <c r="D870" s="170">
        <v>32990</v>
      </c>
      <c r="E870" s="169" t="s">
        <v>95</v>
      </c>
      <c r="F870" s="168">
        <f t="shared" si="13"/>
      </c>
      <c r="G870" s="169" t="s">
        <v>1534</v>
      </c>
      <c r="H870" s="169" t="s">
        <v>858</v>
      </c>
      <c r="I870" s="169" t="s">
        <v>3060</v>
      </c>
      <c r="J870" s="171"/>
    </row>
    <row r="871" spans="1:10" ht="19.5" customHeight="1">
      <c r="A871" s="167" t="s">
        <v>3126</v>
      </c>
      <c r="B871" s="168" t="str">
        <f>RIGHT("a12035238",LEN("a12035238")-1)</f>
        <v>12035238</v>
      </c>
      <c r="C871" s="169" t="s">
        <v>3127</v>
      </c>
      <c r="D871" s="170">
        <v>32782</v>
      </c>
      <c r="E871" s="169" t="s">
        <v>1533</v>
      </c>
      <c r="F871" s="168">
        <f t="shared" si="13"/>
      </c>
      <c r="G871" s="169" t="s">
        <v>1534</v>
      </c>
      <c r="H871" s="169" t="s">
        <v>858</v>
      </c>
      <c r="I871" s="169" t="s">
        <v>3060</v>
      </c>
      <c r="J871" s="171"/>
    </row>
    <row r="872" spans="1:10" ht="19.5" customHeight="1">
      <c r="A872" s="167" t="s">
        <v>3128</v>
      </c>
      <c r="B872" s="168" t="str">
        <f>RIGHT("a12035684",LEN("a12035684")-1)</f>
        <v>12035684</v>
      </c>
      <c r="C872" s="169" t="s">
        <v>3129</v>
      </c>
      <c r="D872" s="170">
        <v>32328</v>
      </c>
      <c r="E872" s="169" t="s">
        <v>1533</v>
      </c>
      <c r="F872" s="168">
        <f t="shared" si="13"/>
      </c>
      <c r="G872" s="169" t="s">
        <v>1534</v>
      </c>
      <c r="H872" s="169" t="s">
        <v>858</v>
      </c>
      <c r="I872" s="169" t="s">
        <v>3060</v>
      </c>
      <c r="J872" s="171"/>
    </row>
    <row r="873" spans="1:10" ht="19.5" customHeight="1">
      <c r="A873" s="167" t="s">
        <v>3130</v>
      </c>
      <c r="B873" s="168" t="str">
        <f>RIGHT("a12035924",LEN("a12035924")-1)</f>
        <v>12035924</v>
      </c>
      <c r="C873" s="169" t="s">
        <v>2774</v>
      </c>
      <c r="D873" s="170">
        <v>29878</v>
      </c>
      <c r="E873" s="169" t="s">
        <v>95</v>
      </c>
      <c r="F873" s="168">
        <f t="shared" si="13"/>
      </c>
      <c r="G873" s="169" t="s">
        <v>1534</v>
      </c>
      <c r="H873" s="169" t="s">
        <v>858</v>
      </c>
      <c r="I873" s="169" t="s">
        <v>3131</v>
      </c>
      <c r="J873" s="171"/>
    </row>
    <row r="874" spans="1:10" ht="19.5" customHeight="1">
      <c r="A874" s="167" t="s">
        <v>3132</v>
      </c>
      <c r="B874" s="168" t="str">
        <f>RIGHT("a12035929",LEN("a12035929")-1)</f>
        <v>12035929</v>
      </c>
      <c r="C874" s="169" t="s">
        <v>3133</v>
      </c>
      <c r="D874" s="170">
        <v>30236</v>
      </c>
      <c r="E874" s="169" t="s">
        <v>1533</v>
      </c>
      <c r="F874" s="168">
        <f t="shared" si="13"/>
      </c>
      <c r="G874" s="169" t="s">
        <v>1534</v>
      </c>
      <c r="H874" s="169" t="s">
        <v>858</v>
      </c>
      <c r="I874" s="169" t="s">
        <v>3131</v>
      </c>
      <c r="J874" s="171"/>
    </row>
    <row r="875" spans="1:10" ht="19.5" customHeight="1">
      <c r="A875" s="167" t="s">
        <v>3134</v>
      </c>
      <c r="B875" s="168" t="str">
        <f>RIGHT("a12035925",LEN("a12035925")-1)</f>
        <v>12035925</v>
      </c>
      <c r="C875" s="169" t="s">
        <v>3135</v>
      </c>
      <c r="D875" s="170">
        <v>30634</v>
      </c>
      <c r="E875" s="169" t="s">
        <v>1533</v>
      </c>
      <c r="F875" s="168">
        <f t="shared" si="13"/>
      </c>
      <c r="G875" s="169" t="s">
        <v>1534</v>
      </c>
      <c r="H875" s="169" t="s">
        <v>858</v>
      </c>
      <c r="I875" s="169" t="s">
        <v>3131</v>
      </c>
      <c r="J875" s="171"/>
    </row>
    <row r="876" spans="1:10" ht="19.5" customHeight="1">
      <c r="A876" s="167" t="s">
        <v>3136</v>
      </c>
      <c r="B876" s="168" t="str">
        <f>RIGHT("a12035926",LEN("a12035926")-1)</f>
        <v>12035926</v>
      </c>
      <c r="C876" s="169" t="s">
        <v>3137</v>
      </c>
      <c r="D876" s="170">
        <v>30842</v>
      </c>
      <c r="E876" s="169" t="s">
        <v>1533</v>
      </c>
      <c r="F876" s="168">
        <f t="shared" si="13"/>
      </c>
      <c r="G876" s="169" t="s">
        <v>1534</v>
      </c>
      <c r="H876" s="169" t="s">
        <v>858</v>
      </c>
      <c r="I876" s="169" t="s">
        <v>3131</v>
      </c>
      <c r="J876" s="171"/>
    </row>
    <row r="877" spans="1:10" ht="19.5" customHeight="1">
      <c r="A877" s="167" t="s">
        <v>3138</v>
      </c>
      <c r="B877" s="168" t="str">
        <f>RIGHT("a12035927",LEN("a12035927")-1)</f>
        <v>12035927</v>
      </c>
      <c r="C877" s="169" t="s">
        <v>3139</v>
      </c>
      <c r="D877" s="170">
        <v>33136</v>
      </c>
      <c r="E877" s="169" t="s">
        <v>95</v>
      </c>
      <c r="F877" s="168">
        <f t="shared" si="13"/>
      </c>
      <c r="G877" s="169" t="s">
        <v>1534</v>
      </c>
      <c r="H877" s="169" t="s">
        <v>858</v>
      </c>
      <c r="I877" s="169" t="s">
        <v>3131</v>
      </c>
      <c r="J877" s="171"/>
    </row>
    <row r="878" spans="1:10" ht="19.5" customHeight="1">
      <c r="A878" s="167" t="s">
        <v>3140</v>
      </c>
      <c r="B878" s="168" t="str">
        <f>RIGHT("a12035930",LEN("a12035930")-1)</f>
        <v>12035930</v>
      </c>
      <c r="C878" s="169" t="s">
        <v>3141</v>
      </c>
      <c r="D878" s="170">
        <v>32835</v>
      </c>
      <c r="E878" s="169" t="s">
        <v>1533</v>
      </c>
      <c r="F878" s="168">
        <f t="shared" si="13"/>
      </c>
      <c r="G878" s="169" t="s">
        <v>1534</v>
      </c>
      <c r="H878" s="169" t="s">
        <v>858</v>
      </c>
      <c r="I878" s="169" t="s">
        <v>3131</v>
      </c>
      <c r="J878" s="171"/>
    </row>
    <row r="879" spans="1:10" ht="19.5" customHeight="1">
      <c r="A879" s="167" t="s">
        <v>3142</v>
      </c>
      <c r="B879" s="168" t="str">
        <f>RIGHT("a12035928",LEN("a12035928")-1)</f>
        <v>12035928</v>
      </c>
      <c r="C879" s="169" t="s">
        <v>3143</v>
      </c>
      <c r="D879" s="170">
        <v>32796</v>
      </c>
      <c r="E879" s="169" t="s">
        <v>1533</v>
      </c>
      <c r="F879" s="168">
        <f t="shared" si="13"/>
      </c>
      <c r="G879" s="169" t="s">
        <v>1534</v>
      </c>
      <c r="H879" s="169" t="s">
        <v>858</v>
      </c>
      <c r="I879" s="169" t="s">
        <v>3131</v>
      </c>
      <c r="J879" s="1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NhanVan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DualCore</dc:creator>
  <cp:keywords/>
  <dc:description/>
  <cp:lastModifiedBy>Administrator</cp:lastModifiedBy>
  <cp:lastPrinted>2016-01-27T02:18:27Z</cp:lastPrinted>
  <dcterms:created xsi:type="dcterms:W3CDTF">2007-10-31T08:24:05Z</dcterms:created>
  <dcterms:modified xsi:type="dcterms:W3CDTF">2016-01-27T02:46:07Z</dcterms:modified>
  <cp:category/>
  <cp:version/>
  <cp:contentType/>
  <cp:contentStatus/>
</cp:coreProperties>
</file>